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BIU\SNG\"/>
    </mc:Choice>
  </mc:AlternateContent>
  <xr:revisionPtr revIDLastSave="0" documentId="13_ncr:1_{975C8649-47C9-4BD7-92E8-BA77CF759815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Aug-24 CREDIT MIS" sheetId="2" r:id="rId1"/>
    <sheet name="Aug Dashboard." sheetId="3" r:id="rId2"/>
    <sheet name="MASTER DATA" sheetId="4" r:id="rId3"/>
  </sheets>
  <definedNames>
    <definedName name="_xlnm._FilterDatabase" localSheetId="0" hidden="1">'Aug-24 CREDIT MIS'!$A$1:$AK$94</definedName>
    <definedName name="_xlnm._FilterDatabase" localSheetId="2" hidden="1">'MASTER DATA'!$C$1:$L$303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2" l="1"/>
  <c r="H95" i="2"/>
  <c r="H96" i="2"/>
  <c r="H97" i="2"/>
  <c r="H98" i="2"/>
  <c r="H99" i="2"/>
  <c r="H100" i="2"/>
  <c r="H101" i="2"/>
  <c r="D95" i="2"/>
  <c r="D96" i="2"/>
  <c r="D97" i="2"/>
  <c r="D98" i="2"/>
  <c r="D99" i="2"/>
  <c r="D100" i="2"/>
  <c r="D101" i="2"/>
  <c r="AJ101" i="2"/>
  <c r="AI101" i="2"/>
  <c r="AH101" i="2"/>
  <c r="AA101" i="2"/>
  <c r="X101" i="2"/>
  <c r="AJ100" i="2"/>
  <c r="AI100" i="2"/>
  <c r="AH100" i="2"/>
  <c r="AA100" i="2"/>
  <c r="X100" i="2"/>
  <c r="AJ99" i="2"/>
  <c r="AI99" i="2"/>
  <c r="AH99" i="2"/>
  <c r="AA99" i="2"/>
  <c r="X99" i="2"/>
  <c r="AJ98" i="2"/>
  <c r="AI98" i="2"/>
  <c r="AH98" i="2"/>
  <c r="AA98" i="2"/>
  <c r="X98" i="2"/>
  <c r="AJ97" i="2"/>
  <c r="AI97" i="2"/>
  <c r="AH97" i="2"/>
  <c r="AA97" i="2"/>
  <c r="X97" i="2"/>
  <c r="AJ96" i="2"/>
  <c r="AI96" i="2"/>
  <c r="AH96" i="2"/>
  <c r="AA96" i="2"/>
  <c r="X96" i="2"/>
  <c r="AJ95" i="2"/>
  <c r="AI95" i="2"/>
  <c r="AH95" i="2"/>
  <c r="AA95" i="2"/>
  <c r="X95" i="2"/>
  <c r="I95" i="2"/>
  <c r="K95" i="2" s="1"/>
  <c r="L95" i="2" s="1"/>
  <c r="J95" i="2"/>
  <c r="M95" i="2"/>
  <c r="N95" i="2"/>
  <c r="P95" i="2"/>
  <c r="I96" i="2"/>
  <c r="K96" i="2" s="1"/>
  <c r="L96" i="2" s="1"/>
  <c r="J96" i="2"/>
  <c r="M96" i="2"/>
  <c r="N96" i="2"/>
  <c r="P96" i="2"/>
  <c r="I97" i="2"/>
  <c r="K97" i="2" s="1"/>
  <c r="L97" i="2" s="1"/>
  <c r="J97" i="2"/>
  <c r="M97" i="2"/>
  <c r="N97" i="2"/>
  <c r="P97" i="2"/>
  <c r="I98" i="2"/>
  <c r="K98" i="2" s="1"/>
  <c r="L98" i="2" s="1"/>
  <c r="J98" i="2"/>
  <c r="M98" i="2"/>
  <c r="N98" i="2"/>
  <c r="P98" i="2"/>
  <c r="I99" i="2"/>
  <c r="K99" i="2" s="1"/>
  <c r="L99" i="2" s="1"/>
  <c r="J99" i="2"/>
  <c r="M99" i="2"/>
  <c r="N99" i="2"/>
  <c r="P99" i="2"/>
  <c r="I100" i="2"/>
  <c r="K100" i="2" s="1"/>
  <c r="L100" i="2" s="1"/>
  <c r="J100" i="2"/>
  <c r="M100" i="2"/>
  <c r="N100" i="2"/>
  <c r="P100" i="2"/>
  <c r="I101" i="2"/>
  <c r="K101" i="2" s="1"/>
  <c r="L101" i="2" s="1"/>
  <c r="J101" i="2"/>
  <c r="M101" i="2"/>
  <c r="N101" i="2"/>
  <c r="P101" i="2"/>
  <c r="P52" i="2" l="1"/>
  <c r="P42" i="2"/>
  <c r="AH6" i="2"/>
  <c r="AI6" i="2"/>
  <c r="AJ6" i="2"/>
  <c r="AA6" i="2"/>
  <c r="X6" i="2"/>
  <c r="P6" i="2"/>
  <c r="H6" i="2"/>
  <c r="I6" i="2"/>
  <c r="K6" i="2" s="1"/>
  <c r="L6" i="2" s="1"/>
  <c r="J6" i="2"/>
  <c r="M6" i="2"/>
  <c r="N6" i="2"/>
  <c r="D6" i="2"/>
  <c r="AH7" i="2"/>
  <c r="AI7" i="2"/>
  <c r="AJ7" i="2"/>
  <c r="P7" i="2"/>
  <c r="H7" i="2"/>
  <c r="I7" i="2"/>
  <c r="K7" i="2" s="1"/>
  <c r="L7" i="2" s="1"/>
  <c r="J7" i="2"/>
  <c r="M7" i="2"/>
  <c r="N7" i="2"/>
  <c r="D7" i="2"/>
  <c r="D84" i="2" l="1"/>
  <c r="D85" i="2"/>
  <c r="D86" i="2"/>
  <c r="D87" i="2"/>
  <c r="D88" i="2"/>
  <c r="D89" i="2"/>
  <c r="D90" i="2"/>
  <c r="D91" i="2"/>
  <c r="D92" i="2"/>
  <c r="D93" i="2"/>
  <c r="D94" i="2"/>
  <c r="AJ94" i="2"/>
  <c r="AI94" i="2"/>
  <c r="AH94" i="2"/>
  <c r="AA94" i="2"/>
  <c r="X94" i="2"/>
  <c r="AJ93" i="2"/>
  <c r="AI93" i="2"/>
  <c r="AH93" i="2"/>
  <c r="AA93" i="2"/>
  <c r="X93" i="2"/>
  <c r="AJ92" i="2"/>
  <c r="AI92" i="2"/>
  <c r="AH92" i="2"/>
  <c r="AA92" i="2"/>
  <c r="X92" i="2"/>
  <c r="AJ91" i="2"/>
  <c r="AI91" i="2"/>
  <c r="AH91" i="2"/>
  <c r="AA91" i="2"/>
  <c r="X91" i="2"/>
  <c r="AJ90" i="2"/>
  <c r="AI90" i="2"/>
  <c r="AH90" i="2"/>
  <c r="AA90" i="2"/>
  <c r="X90" i="2"/>
  <c r="AJ89" i="2"/>
  <c r="AI89" i="2"/>
  <c r="AH89" i="2"/>
  <c r="AA89" i="2"/>
  <c r="X89" i="2"/>
  <c r="AJ88" i="2"/>
  <c r="AI88" i="2"/>
  <c r="AH88" i="2"/>
  <c r="AA88" i="2"/>
  <c r="X88" i="2"/>
  <c r="AJ87" i="2"/>
  <c r="AI87" i="2"/>
  <c r="AH87" i="2"/>
  <c r="AA87" i="2"/>
  <c r="X87" i="2"/>
  <c r="AJ86" i="2"/>
  <c r="AI86" i="2"/>
  <c r="AH86" i="2"/>
  <c r="AA86" i="2"/>
  <c r="X86" i="2"/>
  <c r="AJ85" i="2"/>
  <c r="AI85" i="2"/>
  <c r="AH85" i="2"/>
  <c r="AA85" i="2"/>
  <c r="X85" i="2"/>
  <c r="AJ84" i="2"/>
  <c r="AI84" i="2"/>
  <c r="AH84" i="2"/>
  <c r="AA84" i="2"/>
  <c r="X84" i="2"/>
  <c r="H84" i="2"/>
  <c r="I84" i="2"/>
  <c r="K84" i="2" s="1"/>
  <c r="L84" i="2" s="1"/>
  <c r="J84" i="2"/>
  <c r="M84" i="2"/>
  <c r="N84" i="2"/>
  <c r="P84" i="2"/>
  <c r="H85" i="2"/>
  <c r="I85" i="2"/>
  <c r="K85" i="2" s="1"/>
  <c r="L85" i="2" s="1"/>
  <c r="J85" i="2"/>
  <c r="M85" i="2"/>
  <c r="N85" i="2"/>
  <c r="P85" i="2"/>
  <c r="H86" i="2"/>
  <c r="I86" i="2"/>
  <c r="K86" i="2" s="1"/>
  <c r="L86" i="2" s="1"/>
  <c r="J86" i="2"/>
  <c r="M86" i="2"/>
  <c r="N86" i="2"/>
  <c r="P86" i="2"/>
  <c r="H87" i="2"/>
  <c r="I87" i="2"/>
  <c r="K87" i="2" s="1"/>
  <c r="L87" i="2" s="1"/>
  <c r="J87" i="2"/>
  <c r="M87" i="2"/>
  <c r="N87" i="2"/>
  <c r="P87" i="2"/>
  <c r="H88" i="2"/>
  <c r="I88" i="2"/>
  <c r="K88" i="2" s="1"/>
  <c r="L88" i="2" s="1"/>
  <c r="J88" i="2"/>
  <c r="M88" i="2"/>
  <c r="N88" i="2"/>
  <c r="P88" i="2"/>
  <c r="H89" i="2"/>
  <c r="I89" i="2"/>
  <c r="K89" i="2" s="1"/>
  <c r="L89" i="2" s="1"/>
  <c r="J89" i="2"/>
  <c r="M89" i="2"/>
  <c r="N89" i="2"/>
  <c r="P89" i="2"/>
  <c r="H90" i="2"/>
  <c r="I90" i="2"/>
  <c r="K90" i="2" s="1"/>
  <c r="L90" i="2" s="1"/>
  <c r="J90" i="2"/>
  <c r="M90" i="2"/>
  <c r="N90" i="2"/>
  <c r="P90" i="2"/>
  <c r="H91" i="2"/>
  <c r="I91" i="2"/>
  <c r="K91" i="2" s="1"/>
  <c r="L91" i="2" s="1"/>
  <c r="J91" i="2"/>
  <c r="M91" i="2"/>
  <c r="N91" i="2"/>
  <c r="P91" i="2"/>
  <c r="H92" i="2"/>
  <c r="I92" i="2"/>
  <c r="K92" i="2" s="1"/>
  <c r="L92" i="2" s="1"/>
  <c r="J92" i="2"/>
  <c r="M92" i="2"/>
  <c r="N92" i="2"/>
  <c r="P92" i="2"/>
  <c r="H93" i="2"/>
  <c r="I93" i="2"/>
  <c r="K93" i="2" s="1"/>
  <c r="L93" i="2" s="1"/>
  <c r="J93" i="2"/>
  <c r="M93" i="2"/>
  <c r="N93" i="2"/>
  <c r="P93" i="2"/>
  <c r="I94" i="2"/>
  <c r="K94" i="2" s="1"/>
  <c r="L94" i="2" s="1"/>
  <c r="J94" i="2"/>
  <c r="M94" i="2"/>
  <c r="N94" i="2"/>
  <c r="D10" i="3" s="1"/>
  <c r="P94" i="2"/>
  <c r="P9" i="2"/>
  <c r="P8" i="2"/>
  <c r="P5" i="2"/>
  <c r="P4" i="2"/>
  <c r="P3" i="2"/>
  <c r="P2" i="2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87" i="3"/>
  <c r="K87" i="3"/>
  <c r="D87" i="3"/>
  <c r="C87" i="3"/>
  <c r="L86" i="3"/>
  <c r="K86" i="3"/>
  <c r="H86" i="3"/>
  <c r="G86" i="3"/>
  <c r="F86" i="3"/>
  <c r="E86" i="3"/>
  <c r="D86" i="3"/>
  <c r="C86" i="3"/>
  <c r="L85" i="3"/>
  <c r="K85" i="3"/>
  <c r="H85" i="3"/>
  <c r="G85" i="3"/>
  <c r="F85" i="3"/>
  <c r="E85" i="3"/>
  <c r="D85" i="3"/>
  <c r="C85" i="3"/>
  <c r="L84" i="3"/>
  <c r="K84" i="3"/>
  <c r="H84" i="3"/>
  <c r="G84" i="3"/>
  <c r="F84" i="3"/>
  <c r="E84" i="3"/>
  <c r="D84" i="3"/>
  <c r="C84" i="3"/>
  <c r="L83" i="3"/>
  <c r="K83" i="3"/>
  <c r="H83" i="3"/>
  <c r="G83" i="3"/>
  <c r="F83" i="3"/>
  <c r="E83" i="3"/>
  <c r="D83" i="3"/>
  <c r="C83" i="3"/>
  <c r="L82" i="3"/>
  <c r="K82" i="3"/>
  <c r="H82" i="3"/>
  <c r="G82" i="3"/>
  <c r="F82" i="3"/>
  <c r="E82" i="3"/>
  <c r="D82" i="3"/>
  <c r="C82" i="3"/>
  <c r="L81" i="3"/>
  <c r="K81" i="3"/>
  <c r="H81" i="3"/>
  <c r="G81" i="3"/>
  <c r="F81" i="3"/>
  <c r="E81" i="3"/>
  <c r="L80" i="3"/>
  <c r="K80" i="3"/>
  <c r="H80" i="3"/>
  <c r="G80" i="3"/>
  <c r="F80" i="3"/>
  <c r="E80" i="3"/>
  <c r="D80" i="3"/>
  <c r="C80" i="3"/>
  <c r="L79" i="3"/>
  <c r="K79" i="3"/>
  <c r="H79" i="3"/>
  <c r="G79" i="3"/>
  <c r="F79" i="3"/>
  <c r="E79" i="3"/>
  <c r="L78" i="3"/>
  <c r="K78" i="3"/>
  <c r="H78" i="3"/>
  <c r="G78" i="3"/>
  <c r="F78" i="3"/>
  <c r="E78" i="3"/>
  <c r="D78" i="3"/>
  <c r="C78" i="3"/>
  <c r="L77" i="3"/>
  <c r="K77" i="3"/>
  <c r="H77" i="3"/>
  <c r="G77" i="3"/>
  <c r="F77" i="3"/>
  <c r="E77" i="3"/>
  <c r="D77" i="3"/>
  <c r="C77" i="3"/>
  <c r="L76" i="3"/>
  <c r="K76" i="3"/>
  <c r="H76" i="3"/>
  <c r="G76" i="3"/>
  <c r="F76" i="3"/>
  <c r="E76" i="3"/>
  <c r="D76" i="3"/>
  <c r="C76" i="3"/>
  <c r="L75" i="3"/>
  <c r="K75" i="3"/>
  <c r="H75" i="3"/>
  <c r="G75" i="3"/>
  <c r="F75" i="3"/>
  <c r="E75" i="3"/>
  <c r="D75" i="3"/>
  <c r="C75" i="3"/>
  <c r="L74" i="3"/>
  <c r="K74" i="3"/>
  <c r="H74" i="3"/>
  <c r="G74" i="3"/>
  <c r="F74" i="3"/>
  <c r="E74" i="3"/>
  <c r="D74" i="3"/>
  <c r="C74" i="3"/>
  <c r="L73" i="3"/>
  <c r="K73" i="3"/>
  <c r="H73" i="3"/>
  <c r="G73" i="3"/>
  <c r="F73" i="3"/>
  <c r="E73" i="3"/>
  <c r="D73" i="3"/>
  <c r="C73" i="3"/>
  <c r="L70" i="3"/>
  <c r="K70" i="3"/>
  <c r="H70" i="3"/>
  <c r="G70" i="3"/>
  <c r="F70" i="3"/>
  <c r="E70" i="3"/>
  <c r="L69" i="3"/>
  <c r="K69" i="3"/>
  <c r="H69" i="3"/>
  <c r="G69" i="3"/>
  <c r="F69" i="3"/>
  <c r="E69" i="3"/>
  <c r="D69" i="3"/>
  <c r="C69" i="3"/>
  <c r="L68" i="3"/>
  <c r="K68" i="3"/>
  <c r="H68" i="3"/>
  <c r="G68" i="3"/>
  <c r="F68" i="3"/>
  <c r="E68" i="3"/>
  <c r="D68" i="3"/>
  <c r="C68" i="3"/>
  <c r="L67" i="3"/>
  <c r="K67" i="3"/>
  <c r="H67" i="3"/>
  <c r="G67" i="3"/>
  <c r="F67" i="3"/>
  <c r="E67" i="3"/>
  <c r="D67" i="3"/>
  <c r="C67" i="3"/>
  <c r="L66" i="3"/>
  <c r="K66" i="3"/>
  <c r="H66" i="3"/>
  <c r="G66" i="3"/>
  <c r="F66" i="3"/>
  <c r="E66" i="3"/>
  <c r="D66" i="3"/>
  <c r="C66" i="3"/>
  <c r="L65" i="3"/>
  <c r="K65" i="3"/>
  <c r="H65" i="3"/>
  <c r="G65" i="3"/>
  <c r="F65" i="3"/>
  <c r="E65" i="3"/>
  <c r="L63" i="3"/>
  <c r="K63" i="3"/>
  <c r="H63" i="3"/>
  <c r="G63" i="3"/>
  <c r="F63" i="3"/>
  <c r="E63" i="3"/>
  <c r="D63" i="3"/>
  <c r="C63" i="3"/>
  <c r="L62" i="3"/>
  <c r="K62" i="3"/>
  <c r="D62" i="3"/>
  <c r="C62" i="3"/>
  <c r="L61" i="3"/>
  <c r="K61" i="3"/>
  <c r="H61" i="3"/>
  <c r="G61" i="3"/>
  <c r="F61" i="3"/>
  <c r="E61" i="3"/>
  <c r="D61" i="3"/>
  <c r="C61" i="3"/>
  <c r="L60" i="3"/>
  <c r="K60" i="3"/>
  <c r="H60" i="3"/>
  <c r="G60" i="3"/>
  <c r="F60" i="3"/>
  <c r="E60" i="3"/>
  <c r="D60" i="3"/>
  <c r="C60" i="3"/>
  <c r="L59" i="3"/>
  <c r="K59" i="3"/>
  <c r="D59" i="3"/>
  <c r="C59" i="3"/>
  <c r="L58" i="3"/>
  <c r="K58" i="3"/>
  <c r="H58" i="3"/>
  <c r="G58" i="3"/>
  <c r="F58" i="3"/>
  <c r="E58" i="3"/>
  <c r="D58" i="3"/>
  <c r="C58" i="3"/>
  <c r="L57" i="3"/>
  <c r="K57" i="3"/>
  <c r="D57" i="3"/>
  <c r="C57" i="3"/>
  <c r="L56" i="3"/>
  <c r="K56" i="3"/>
  <c r="H56" i="3"/>
  <c r="G56" i="3"/>
  <c r="F56" i="3"/>
  <c r="E56" i="3"/>
  <c r="D56" i="3"/>
  <c r="C56" i="3"/>
  <c r="L55" i="3"/>
  <c r="K55" i="3"/>
  <c r="H55" i="3"/>
  <c r="G55" i="3"/>
  <c r="F55" i="3"/>
  <c r="E55" i="3"/>
  <c r="D55" i="3"/>
  <c r="C55" i="3"/>
  <c r="L54" i="3"/>
  <c r="K54" i="3"/>
  <c r="H54" i="3"/>
  <c r="G54" i="3"/>
  <c r="F54" i="3"/>
  <c r="E54" i="3"/>
  <c r="D54" i="3"/>
  <c r="C54" i="3"/>
  <c r="L53" i="3"/>
  <c r="K53" i="3"/>
  <c r="H53" i="3"/>
  <c r="G53" i="3"/>
  <c r="F53" i="3"/>
  <c r="E53" i="3"/>
  <c r="D53" i="3"/>
  <c r="C53" i="3"/>
  <c r="L52" i="3"/>
  <c r="K52" i="3"/>
  <c r="H52" i="3"/>
  <c r="G52" i="3"/>
  <c r="F52" i="3"/>
  <c r="E52" i="3"/>
  <c r="D52" i="3"/>
  <c r="C52" i="3"/>
  <c r="L51" i="3"/>
  <c r="K51" i="3"/>
  <c r="H51" i="3"/>
  <c r="G51" i="3"/>
  <c r="F51" i="3"/>
  <c r="E51" i="3"/>
  <c r="D51" i="3"/>
  <c r="C51" i="3"/>
  <c r="L50" i="3"/>
  <c r="K50" i="3"/>
  <c r="D50" i="3"/>
  <c r="C50" i="3"/>
  <c r="L49" i="3"/>
  <c r="K49" i="3"/>
  <c r="D49" i="3"/>
  <c r="C49" i="3"/>
  <c r="L48" i="3"/>
  <c r="K48" i="3"/>
  <c r="H48" i="3"/>
  <c r="G48" i="3"/>
  <c r="F48" i="3"/>
  <c r="E48" i="3"/>
  <c r="D48" i="3"/>
  <c r="C48" i="3"/>
  <c r="L47" i="3"/>
  <c r="K47" i="3"/>
  <c r="H47" i="3"/>
  <c r="G47" i="3"/>
  <c r="F47" i="3"/>
  <c r="E47" i="3"/>
  <c r="D47" i="3"/>
  <c r="C47" i="3"/>
  <c r="L46" i="3"/>
  <c r="K46" i="3"/>
  <c r="H46" i="3"/>
  <c r="G46" i="3"/>
  <c r="F46" i="3"/>
  <c r="E46" i="3"/>
  <c r="D46" i="3"/>
  <c r="C46" i="3"/>
  <c r="L45" i="3"/>
  <c r="K45" i="3"/>
  <c r="H45" i="3"/>
  <c r="G45" i="3"/>
  <c r="F45" i="3"/>
  <c r="E45" i="3"/>
  <c r="D45" i="3"/>
  <c r="C45" i="3"/>
  <c r="L44" i="3"/>
  <c r="K44" i="3"/>
  <c r="H44" i="3"/>
  <c r="G44" i="3"/>
  <c r="F44" i="3"/>
  <c r="E44" i="3"/>
  <c r="D44" i="3"/>
  <c r="C44" i="3"/>
  <c r="L43" i="3"/>
  <c r="K43" i="3"/>
  <c r="H43" i="3"/>
  <c r="G43" i="3"/>
  <c r="F43" i="3"/>
  <c r="E43" i="3"/>
  <c r="D43" i="3"/>
  <c r="C43" i="3"/>
  <c r="L42" i="3"/>
  <c r="K42" i="3"/>
  <c r="H42" i="3"/>
  <c r="G42" i="3"/>
  <c r="F42" i="3"/>
  <c r="E42" i="3"/>
  <c r="D42" i="3"/>
  <c r="C42" i="3"/>
  <c r="L40" i="3"/>
  <c r="K40" i="3"/>
  <c r="H40" i="3"/>
  <c r="G40" i="3"/>
  <c r="F40" i="3"/>
  <c r="E40" i="3"/>
  <c r="C40" i="3"/>
  <c r="L39" i="3"/>
  <c r="K39" i="3"/>
  <c r="H39" i="3"/>
  <c r="G39" i="3"/>
  <c r="F39" i="3"/>
  <c r="E39" i="3"/>
  <c r="C39" i="3"/>
  <c r="L38" i="3"/>
  <c r="K38" i="3"/>
  <c r="H38" i="3"/>
  <c r="G38" i="3"/>
  <c r="F38" i="3"/>
  <c r="E38" i="3"/>
  <c r="D38" i="3"/>
  <c r="C38" i="3"/>
  <c r="L37" i="3"/>
  <c r="K37" i="3"/>
  <c r="H37" i="3"/>
  <c r="G37" i="3"/>
  <c r="F37" i="3"/>
  <c r="E37" i="3"/>
  <c r="C37" i="3"/>
  <c r="L36" i="3"/>
  <c r="K36" i="3"/>
  <c r="H36" i="3"/>
  <c r="G36" i="3"/>
  <c r="F36" i="3"/>
  <c r="E36" i="3"/>
  <c r="C36" i="3"/>
  <c r="L35" i="3"/>
  <c r="K35" i="3"/>
  <c r="H35" i="3"/>
  <c r="G35" i="3"/>
  <c r="F35" i="3"/>
  <c r="E35" i="3"/>
  <c r="D35" i="3"/>
  <c r="C35" i="3"/>
  <c r="L33" i="3"/>
  <c r="K33" i="3"/>
  <c r="H33" i="3"/>
  <c r="G33" i="3"/>
  <c r="F33" i="3"/>
  <c r="E33" i="3"/>
  <c r="D33" i="3"/>
  <c r="C33" i="3"/>
  <c r="L32" i="3"/>
  <c r="K32" i="3"/>
  <c r="H32" i="3"/>
  <c r="G32" i="3"/>
  <c r="F32" i="3"/>
  <c r="E32" i="3"/>
  <c r="D32" i="3"/>
  <c r="C32" i="3"/>
  <c r="L31" i="3"/>
  <c r="K31" i="3"/>
  <c r="H31" i="3"/>
  <c r="G31" i="3"/>
  <c r="F31" i="3"/>
  <c r="E31" i="3"/>
  <c r="D31" i="3"/>
  <c r="C31" i="3"/>
  <c r="L30" i="3"/>
  <c r="K30" i="3"/>
  <c r="H30" i="3"/>
  <c r="G30" i="3"/>
  <c r="F30" i="3"/>
  <c r="E30" i="3"/>
  <c r="D30" i="3"/>
  <c r="C30" i="3"/>
  <c r="L29" i="3"/>
  <c r="K29" i="3"/>
  <c r="H29" i="3"/>
  <c r="G29" i="3"/>
  <c r="F29" i="3"/>
  <c r="E29" i="3"/>
  <c r="C29" i="3"/>
  <c r="L28" i="3"/>
  <c r="K28" i="3"/>
  <c r="H28" i="3"/>
  <c r="G28" i="3"/>
  <c r="F28" i="3"/>
  <c r="E28" i="3"/>
  <c r="D28" i="3"/>
  <c r="C28" i="3"/>
  <c r="L27" i="3"/>
  <c r="K27" i="3"/>
  <c r="H27" i="3"/>
  <c r="G27" i="3"/>
  <c r="F27" i="3"/>
  <c r="E27" i="3"/>
  <c r="D27" i="3"/>
  <c r="C27" i="3"/>
  <c r="L26" i="3"/>
  <c r="K26" i="3"/>
  <c r="H26" i="3"/>
  <c r="G26" i="3"/>
  <c r="F26" i="3"/>
  <c r="E26" i="3"/>
  <c r="D26" i="3"/>
  <c r="C26" i="3"/>
  <c r="L25" i="3"/>
  <c r="K25" i="3"/>
  <c r="H25" i="3"/>
  <c r="G25" i="3"/>
  <c r="F25" i="3"/>
  <c r="E25" i="3"/>
  <c r="D25" i="3"/>
  <c r="C25" i="3"/>
  <c r="L24" i="3"/>
  <c r="K24" i="3"/>
  <c r="H24" i="3"/>
  <c r="G24" i="3"/>
  <c r="F24" i="3"/>
  <c r="E24" i="3"/>
  <c r="D24" i="3"/>
  <c r="C24" i="3"/>
  <c r="L23" i="3"/>
  <c r="K23" i="3"/>
  <c r="H23" i="3"/>
  <c r="G23" i="3"/>
  <c r="F23" i="3"/>
  <c r="E23" i="3"/>
  <c r="D23" i="3"/>
  <c r="C23" i="3"/>
  <c r="L22" i="3"/>
  <c r="K22" i="3"/>
  <c r="H22" i="3"/>
  <c r="G22" i="3"/>
  <c r="F22" i="3"/>
  <c r="E22" i="3"/>
  <c r="D22" i="3"/>
  <c r="C22" i="3"/>
  <c r="L21" i="3"/>
  <c r="K21" i="3"/>
  <c r="H21" i="3"/>
  <c r="G21" i="3"/>
  <c r="F21" i="3"/>
  <c r="E21" i="3"/>
  <c r="D21" i="3"/>
  <c r="C21" i="3"/>
  <c r="L20" i="3"/>
  <c r="K20" i="3"/>
  <c r="H20" i="3"/>
  <c r="G20" i="3"/>
  <c r="F20" i="3"/>
  <c r="E20" i="3"/>
  <c r="D20" i="3"/>
  <c r="C20" i="3"/>
  <c r="L19" i="3"/>
  <c r="K19" i="3"/>
  <c r="H19" i="3"/>
  <c r="G19" i="3"/>
  <c r="F19" i="3"/>
  <c r="E19" i="3"/>
  <c r="D19" i="3"/>
  <c r="C19" i="3"/>
  <c r="L18" i="3"/>
  <c r="K18" i="3"/>
  <c r="H18" i="3"/>
  <c r="G18" i="3"/>
  <c r="F18" i="3"/>
  <c r="E18" i="3"/>
  <c r="D18" i="3"/>
  <c r="C18" i="3"/>
  <c r="L16" i="3"/>
  <c r="K16" i="3"/>
  <c r="H16" i="3"/>
  <c r="G16" i="3"/>
  <c r="F16" i="3"/>
  <c r="E16" i="3"/>
  <c r="D16" i="3"/>
  <c r="C16" i="3"/>
  <c r="L15" i="3"/>
  <c r="K15" i="3"/>
  <c r="H15" i="3"/>
  <c r="G15" i="3"/>
  <c r="F15" i="3"/>
  <c r="E15" i="3"/>
  <c r="D15" i="3"/>
  <c r="C15" i="3"/>
  <c r="L14" i="3"/>
  <c r="K14" i="3"/>
  <c r="H14" i="3"/>
  <c r="G14" i="3"/>
  <c r="F14" i="3"/>
  <c r="E14" i="3"/>
  <c r="L13" i="3"/>
  <c r="K13" i="3"/>
  <c r="H13" i="3"/>
  <c r="G13" i="3"/>
  <c r="F13" i="3"/>
  <c r="E13" i="3"/>
  <c r="D13" i="3"/>
  <c r="C13" i="3"/>
  <c r="L12" i="3"/>
  <c r="K12" i="3"/>
  <c r="H12" i="3"/>
  <c r="G12" i="3"/>
  <c r="F12" i="3"/>
  <c r="E12" i="3"/>
  <c r="D12" i="3"/>
  <c r="C12" i="3"/>
  <c r="L11" i="3"/>
  <c r="K11" i="3"/>
  <c r="H11" i="3"/>
  <c r="G11" i="3"/>
  <c r="F11" i="3"/>
  <c r="E11" i="3"/>
  <c r="D11" i="3"/>
  <c r="C11" i="3"/>
  <c r="L10" i="3"/>
  <c r="K10" i="3"/>
  <c r="H10" i="3"/>
  <c r="G10" i="3"/>
  <c r="F10" i="3"/>
  <c r="E10" i="3"/>
  <c r="L9" i="3"/>
  <c r="K9" i="3"/>
  <c r="H9" i="3"/>
  <c r="G9" i="3"/>
  <c r="F9" i="3"/>
  <c r="E9" i="3"/>
  <c r="D9" i="3"/>
  <c r="C9" i="3"/>
  <c r="L8" i="3"/>
  <c r="K8" i="3"/>
  <c r="H8" i="3"/>
  <c r="G8" i="3"/>
  <c r="F8" i="3"/>
  <c r="E8" i="3"/>
  <c r="D8" i="3"/>
  <c r="C8" i="3"/>
  <c r="L7" i="3"/>
  <c r="K7" i="3"/>
  <c r="H7" i="3"/>
  <c r="G7" i="3"/>
  <c r="F7" i="3"/>
  <c r="E7" i="3"/>
  <c r="D7" i="3"/>
  <c r="C7" i="3"/>
  <c r="L6" i="3"/>
  <c r="K6" i="3"/>
  <c r="H6" i="3"/>
  <c r="G6" i="3"/>
  <c r="F6" i="3"/>
  <c r="E6" i="3"/>
  <c r="D6" i="3"/>
  <c r="C6" i="3"/>
  <c r="L5" i="3"/>
  <c r="K5" i="3"/>
  <c r="H5" i="3"/>
  <c r="G5" i="3"/>
  <c r="F5" i="3"/>
  <c r="E5" i="3"/>
  <c r="D5" i="3"/>
  <c r="C5" i="3"/>
  <c r="L4" i="3"/>
  <c r="K4" i="3"/>
  <c r="H4" i="3"/>
  <c r="G4" i="3"/>
  <c r="F4" i="3"/>
  <c r="E4" i="3"/>
  <c r="C4" i="3"/>
  <c r="D37" i="3" l="1"/>
  <c r="D40" i="3"/>
  <c r="C65" i="3"/>
  <c r="D29" i="3"/>
  <c r="D36" i="3"/>
  <c r="D39" i="3"/>
  <c r="C10" i="3"/>
  <c r="C14" i="3"/>
  <c r="D4" i="3"/>
  <c r="D14" i="3"/>
  <c r="C79" i="3"/>
  <c r="C81" i="3"/>
  <c r="D79" i="3"/>
  <c r="D81" i="3"/>
  <c r="D65" i="3"/>
  <c r="D83" i="2"/>
  <c r="X83" i="2"/>
  <c r="AA83" i="2"/>
  <c r="AH83" i="2"/>
  <c r="AI83" i="2"/>
  <c r="AJ83" i="2"/>
  <c r="P83" i="2"/>
  <c r="H83" i="2"/>
  <c r="I83" i="2"/>
  <c r="J83" i="2"/>
  <c r="M83" i="2"/>
  <c r="N83" i="2"/>
  <c r="K83" i="2" l="1"/>
  <c r="D70" i="3"/>
  <c r="C70" i="3"/>
  <c r="D74" i="2"/>
  <c r="D75" i="2"/>
  <c r="D76" i="2"/>
  <c r="D77" i="2"/>
  <c r="D78" i="2"/>
  <c r="D79" i="2"/>
  <c r="D80" i="2"/>
  <c r="D81" i="2"/>
  <c r="D82" i="2"/>
  <c r="AJ82" i="2"/>
  <c r="AI82" i="2"/>
  <c r="AH82" i="2"/>
  <c r="AA82" i="2"/>
  <c r="X82" i="2"/>
  <c r="AJ81" i="2"/>
  <c r="AI81" i="2"/>
  <c r="AH81" i="2"/>
  <c r="AA81" i="2"/>
  <c r="X81" i="2"/>
  <c r="AJ80" i="2"/>
  <c r="AI80" i="2"/>
  <c r="AH80" i="2"/>
  <c r="AA80" i="2"/>
  <c r="X80" i="2"/>
  <c r="AJ79" i="2"/>
  <c r="AI79" i="2"/>
  <c r="AH79" i="2"/>
  <c r="AA79" i="2"/>
  <c r="X79" i="2"/>
  <c r="AJ78" i="2"/>
  <c r="AI78" i="2"/>
  <c r="AH78" i="2"/>
  <c r="AA78" i="2"/>
  <c r="X78" i="2"/>
  <c r="AJ77" i="2"/>
  <c r="AI77" i="2"/>
  <c r="AH77" i="2"/>
  <c r="AA77" i="2"/>
  <c r="X77" i="2"/>
  <c r="AJ76" i="2"/>
  <c r="AI76" i="2"/>
  <c r="AH76" i="2"/>
  <c r="AA76" i="2"/>
  <c r="X76" i="2"/>
  <c r="AJ75" i="2"/>
  <c r="AI75" i="2"/>
  <c r="AH75" i="2"/>
  <c r="AA75" i="2"/>
  <c r="X75" i="2"/>
  <c r="AJ74" i="2"/>
  <c r="AI74" i="2"/>
  <c r="AH74" i="2"/>
  <c r="AA74" i="2"/>
  <c r="X74" i="2"/>
  <c r="H74" i="2"/>
  <c r="I74" i="2"/>
  <c r="K74" i="2" s="1"/>
  <c r="L74" i="2" s="1"/>
  <c r="J74" i="2"/>
  <c r="M74" i="2"/>
  <c r="N74" i="2"/>
  <c r="P74" i="2"/>
  <c r="H75" i="2"/>
  <c r="I75" i="2"/>
  <c r="K75" i="2" s="1"/>
  <c r="L75" i="2" s="1"/>
  <c r="J75" i="2"/>
  <c r="M75" i="2"/>
  <c r="N75" i="2"/>
  <c r="P75" i="2"/>
  <c r="H76" i="2"/>
  <c r="I76" i="2"/>
  <c r="K76" i="2" s="1"/>
  <c r="L76" i="2" s="1"/>
  <c r="J76" i="2"/>
  <c r="M76" i="2"/>
  <c r="N76" i="2"/>
  <c r="P76" i="2"/>
  <c r="H77" i="2"/>
  <c r="I77" i="2"/>
  <c r="K77" i="2" s="1"/>
  <c r="L77" i="2" s="1"/>
  <c r="J77" i="2"/>
  <c r="M77" i="2"/>
  <c r="N77" i="2"/>
  <c r="P77" i="2"/>
  <c r="H78" i="2"/>
  <c r="I78" i="2"/>
  <c r="K78" i="2" s="1"/>
  <c r="L78" i="2" s="1"/>
  <c r="J78" i="2"/>
  <c r="M78" i="2"/>
  <c r="N78" i="2"/>
  <c r="P78" i="2"/>
  <c r="H79" i="2"/>
  <c r="I79" i="2"/>
  <c r="K79" i="2" s="1"/>
  <c r="L79" i="2" s="1"/>
  <c r="J79" i="2"/>
  <c r="M79" i="2"/>
  <c r="N79" i="2"/>
  <c r="P79" i="2"/>
  <c r="H80" i="2"/>
  <c r="I80" i="2"/>
  <c r="K80" i="2" s="1"/>
  <c r="L80" i="2" s="1"/>
  <c r="J80" i="2"/>
  <c r="M80" i="2"/>
  <c r="N80" i="2"/>
  <c r="P80" i="2"/>
  <c r="H81" i="2"/>
  <c r="I81" i="2"/>
  <c r="K81" i="2" s="1"/>
  <c r="L81" i="2" s="1"/>
  <c r="J81" i="2"/>
  <c r="M81" i="2"/>
  <c r="N81" i="2"/>
  <c r="P81" i="2"/>
  <c r="H82" i="2"/>
  <c r="I82" i="2"/>
  <c r="K82" i="2" s="1"/>
  <c r="L82" i="2" s="1"/>
  <c r="J82" i="2"/>
  <c r="M82" i="2"/>
  <c r="N82" i="2"/>
  <c r="P82" i="2"/>
  <c r="P43" i="2"/>
  <c r="P71" i="2"/>
  <c r="L83" i="2" l="1"/>
  <c r="D195" i="3"/>
  <c r="D194" i="3"/>
  <c r="D193" i="3"/>
  <c r="D192" i="3"/>
  <c r="D191" i="3"/>
  <c r="D190" i="3"/>
  <c r="D189" i="3"/>
  <c r="D188" i="3"/>
  <c r="D187" i="3"/>
  <c r="D186" i="3"/>
  <c r="D185" i="3"/>
  <c r="D184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AJ73" i="2"/>
  <c r="AI73" i="2"/>
  <c r="AH73" i="2"/>
  <c r="AA73" i="2"/>
  <c r="X73" i="2"/>
  <c r="AJ72" i="2"/>
  <c r="AI72" i="2"/>
  <c r="AH72" i="2"/>
  <c r="AA72" i="2"/>
  <c r="X72" i="2"/>
  <c r="AJ71" i="2"/>
  <c r="AI71" i="2"/>
  <c r="AH71" i="2"/>
  <c r="AA71" i="2"/>
  <c r="X71" i="2"/>
  <c r="AJ70" i="2"/>
  <c r="AI70" i="2"/>
  <c r="AH70" i="2"/>
  <c r="AA70" i="2"/>
  <c r="X70" i="2"/>
  <c r="AJ69" i="2"/>
  <c r="AI69" i="2"/>
  <c r="AH69" i="2"/>
  <c r="AA69" i="2"/>
  <c r="X69" i="2"/>
  <c r="AJ68" i="2"/>
  <c r="AI68" i="2"/>
  <c r="AH68" i="2"/>
  <c r="AA68" i="2"/>
  <c r="X68" i="2"/>
  <c r="AJ67" i="2"/>
  <c r="AI67" i="2"/>
  <c r="AH67" i="2"/>
  <c r="AA67" i="2"/>
  <c r="X67" i="2"/>
  <c r="AJ66" i="2"/>
  <c r="AI66" i="2"/>
  <c r="AH66" i="2"/>
  <c r="AA66" i="2"/>
  <c r="X66" i="2"/>
  <c r="AJ65" i="2"/>
  <c r="AI65" i="2"/>
  <c r="AH65" i="2"/>
  <c r="AA65" i="2"/>
  <c r="X65" i="2"/>
  <c r="AJ64" i="2"/>
  <c r="AI64" i="2"/>
  <c r="AH64" i="2"/>
  <c r="AA64" i="2"/>
  <c r="X64" i="2"/>
  <c r="AJ63" i="2"/>
  <c r="AI63" i="2"/>
  <c r="AH63" i="2"/>
  <c r="AA63" i="2"/>
  <c r="X63" i="2"/>
  <c r="AJ62" i="2"/>
  <c r="AI62" i="2"/>
  <c r="AH62" i="2"/>
  <c r="AA62" i="2"/>
  <c r="X62" i="2"/>
  <c r="D63" i="2"/>
  <c r="D64" i="2"/>
  <c r="D65" i="2"/>
  <c r="D66" i="2"/>
  <c r="D67" i="2"/>
  <c r="D68" i="2"/>
  <c r="D69" i="2"/>
  <c r="D70" i="2"/>
  <c r="D71" i="2"/>
  <c r="D72" i="2"/>
  <c r="D73" i="2"/>
  <c r="D62" i="2"/>
  <c r="H62" i="2"/>
  <c r="I62" i="2"/>
  <c r="J62" i="2"/>
  <c r="M62" i="2"/>
  <c r="N62" i="2"/>
  <c r="P62" i="2"/>
  <c r="H63" i="2"/>
  <c r="I63" i="2"/>
  <c r="K63" i="2" s="1"/>
  <c r="L63" i="2" s="1"/>
  <c r="J63" i="2"/>
  <c r="M63" i="2"/>
  <c r="N63" i="2"/>
  <c r="P63" i="2"/>
  <c r="H64" i="2"/>
  <c r="I64" i="2"/>
  <c r="K64" i="2" s="1"/>
  <c r="L64" i="2" s="1"/>
  <c r="J64" i="2"/>
  <c r="M64" i="2"/>
  <c r="N64" i="2"/>
  <c r="P64" i="2"/>
  <c r="H65" i="2"/>
  <c r="I65" i="2"/>
  <c r="K65" i="2" s="1"/>
  <c r="L65" i="2" s="1"/>
  <c r="J65" i="2"/>
  <c r="M65" i="2"/>
  <c r="N65" i="2"/>
  <c r="P65" i="2"/>
  <c r="H66" i="2"/>
  <c r="I66" i="2"/>
  <c r="J66" i="2"/>
  <c r="M66" i="2"/>
  <c r="N66" i="2"/>
  <c r="P66" i="2"/>
  <c r="H67" i="2"/>
  <c r="I67" i="2"/>
  <c r="K67" i="2" s="1"/>
  <c r="L67" i="2" s="1"/>
  <c r="J67" i="2"/>
  <c r="M67" i="2"/>
  <c r="N67" i="2"/>
  <c r="P67" i="2"/>
  <c r="H68" i="2"/>
  <c r="I68" i="2"/>
  <c r="K68" i="2" s="1"/>
  <c r="L68" i="2" s="1"/>
  <c r="J68" i="2"/>
  <c r="M68" i="2"/>
  <c r="N68" i="2"/>
  <c r="P68" i="2"/>
  <c r="H69" i="2"/>
  <c r="I69" i="2"/>
  <c r="K69" i="2" s="1"/>
  <c r="L69" i="2" s="1"/>
  <c r="J69" i="2"/>
  <c r="M69" i="2"/>
  <c r="N69" i="2"/>
  <c r="P69" i="2"/>
  <c r="H70" i="2"/>
  <c r="I70" i="2"/>
  <c r="K70" i="2" s="1"/>
  <c r="L70" i="2" s="1"/>
  <c r="J70" i="2"/>
  <c r="M70" i="2"/>
  <c r="N70" i="2"/>
  <c r="P70" i="2"/>
  <c r="H71" i="2"/>
  <c r="I71" i="2"/>
  <c r="K71" i="2" s="1"/>
  <c r="L71" i="2" s="1"/>
  <c r="J71" i="2"/>
  <c r="M71" i="2"/>
  <c r="N71" i="2"/>
  <c r="H72" i="2"/>
  <c r="I72" i="2"/>
  <c r="K72" i="2" s="1"/>
  <c r="L72" i="2" s="1"/>
  <c r="J72" i="2"/>
  <c r="M72" i="2"/>
  <c r="N72" i="2"/>
  <c r="P72" i="2"/>
  <c r="H73" i="2"/>
  <c r="I73" i="2"/>
  <c r="K73" i="2" s="1"/>
  <c r="L73" i="2" s="1"/>
  <c r="J73" i="2"/>
  <c r="M73" i="2"/>
  <c r="N73" i="2"/>
  <c r="P73" i="2"/>
  <c r="P60" i="2"/>
  <c r="AJ10" i="2"/>
  <c r="AI10" i="2"/>
  <c r="AH10" i="2"/>
  <c r="AA10" i="2"/>
  <c r="X10" i="2"/>
  <c r="P10" i="2"/>
  <c r="H10" i="2"/>
  <c r="I10" i="2"/>
  <c r="K10" i="2" s="1"/>
  <c r="L10" i="2" s="1"/>
  <c r="J10" i="2"/>
  <c r="M10" i="2"/>
  <c r="N10" i="2"/>
  <c r="D10" i="2"/>
  <c r="K66" i="2" l="1"/>
  <c r="L66" i="2" s="1"/>
  <c r="K62" i="2"/>
  <c r="H87" i="3"/>
  <c r="G87" i="3"/>
  <c r="F87" i="3"/>
  <c r="E87" i="3"/>
  <c r="AJ11" i="2"/>
  <c r="AI11" i="2"/>
  <c r="AH11" i="2"/>
  <c r="AA11" i="2"/>
  <c r="X11" i="2"/>
  <c r="P11" i="2"/>
  <c r="H11" i="2"/>
  <c r="I11" i="2"/>
  <c r="K11" i="2" s="1"/>
  <c r="L11" i="2" s="1"/>
  <c r="J11" i="2"/>
  <c r="M11" i="2"/>
  <c r="N11" i="2"/>
  <c r="D11" i="2"/>
  <c r="L62" i="2" l="1"/>
  <c r="AH9" i="2"/>
  <c r="AI9" i="2"/>
  <c r="AJ9" i="2"/>
  <c r="AA9" i="2"/>
  <c r="X9" i="2"/>
  <c r="H9" i="2"/>
  <c r="I9" i="2"/>
  <c r="K9" i="2" s="1"/>
  <c r="L9" i="2" s="1"/>
  <c r="J9" i="2"/>
  <c r="M9" i="2"/>
  <c r="N9" i="2"/>
  <c r="D9" i="2"/>
  <c r="D48" i="2" l="1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7" i="2"/>
  <c r="AJ61" i="2"/>
  <c r="AI61" i="2"/>
  <c r="AH61" i="2"/>
  <c r="AA61" i="2"/>
  <c r="X61" i="2"/>
  <c r="AJ60" i="2"/>
  <c r="AI60" i="2"/>
  <c r="AH60" i="2"/>
  <c r="AA60" i="2"/>
  <c r="X60" i="2"/>
  <c r="AJ59" i="2"/>
  <c r="AI59" i="2"/>
  <c r="AH59" i="2"/>
  <c r="AA59" i="2"/>
  <c r="X59" i="2"/>
  <c r="AJ58" i="2"/>
  <c r="AI58" i="2"/>
  <c r="AH58" i="2"/>
  <c r="AA58" i="2"/>
  <c r="X58" i="2"/>
  <c r="AJ57" i="2"/>
  <c r="AI57" i="2"/>
  <c r="AH57" i="2"/>
  <c r="AA57" i="2"/>
  <c r="X57" i="2"/>
  <c r="AJ56" i="2"/>
  <c r="AI56" i="2"/>
  <c r="AH56" i="2"/>
  <c r="AA56" i="2"/>
  <c r="X56" i="2"/>
  <c r="AJ55" i="2"/>
  <c r="AI55" i="2"/>
  <c r="AH55" i="2"/>
  <c r="AA55" i="2"/>
  <c r="X55" i="2"/>
  <c r="AJ54" i="2"/>
  <c r="AI54" i="2"/>
  <c r="AH54" i="2"/>
  <c r="AA54" i="2"/>
  <c r="X54" i="2"/>
  <c r="AJ53" i="2"/>
  <c r="AI53" i="2"/>
  <c r="AH53" i="2"/>
  <c r="AA53" i="2"/>
  <c r="X53" i="2"/>
  <c r="AJ52" i="2"/>
  <c r="AI52" i="2"/>
  <c r="AH52" i="2"/>
  <c r="AA52" i="2"/>
  <c r="X52" i="2"/>
  <c r="AJ51" i="2"/>
  <c r="AI51" i="2"/>
  <c r="AH51" i="2"/>
  <c r="AA51" i="2"/>
  <c r="X51" i="2"/>
  <c r="AJ50" i="2"/>
  <c r="AI50" i="2"/>
  <c r="AH50" i="2"/>
  <c r="AA50" i="2"/>
  <c r="X50" i="2"/>
  <c r="AJ49" i="2"/>
  <c r="AI49" i="2"/>
  <c r="AH49" i="2"/>
  <c r="AA49" i="2"/>
  <c r="X49" i="2"/>
  <c r="AJ48" i="2"/>
  <c r="AI48" i="2"/>
  <c r="AH48" i="2"/>
  <c r="AA48" i="2"/>
  <c r="X48" i="2"/>
  <c r="AJ47" i="2"/>
  <c r="AI47" i="2"/>
  <c r="AH47" i="2"/>
  <c r="AA47" i="2"/>
  <c r="X47" i="2"/>
  <c r="H47" i="2"/>
  <c r="I47" i="2"/>
  <c r="K47" i="2" s="1"/>
  <c r="L47" i="2" s="1"/>
  <c r="J47" i="2"/>
  <c r="M47" i="2"/>
  <c r="N47" i="2"/>
  <c r="P47" i="2"/>
  <c r="H48" i="2"/>
  <c r="I48" i="2"/>
  <c r="K48" i="2" s="1"/>
  <c r="L48" i="2" s="1"/>
  <c r="J48" i="2"/>
  <c r="M48" i="2"/>
  <c r="N48" i="2"/>
  <c r="P48" i="2"/>
  <c r="H49" i="2"/>
  <c r="I49" i="2"/>
  <c r="J49" i="2"/>
  <c r="M49" i="2"/>
  <c r="N49" i="2"/>
  <c r="P49" i="2"/>
  <c r="H50" i="2"/>
  <c r="I50" i="2"/>
  <c r="K50" i="2" s="1"/>
  <c r="L50" i="2" s="1"/>
  <c r="J50" i="2"/>
  <c r="M50" i="2"/>
  <c r="N50" i="2"/>
  <c r="P50" i="2"/>
  <c r="H51" i="2"/>
  <c r="I51" i="2"/>
  <c r="J51" i="2"/>
  <c r="M51" i="2"/>
  <c r="N51" i="2"/>
  <c r="P51" i="2"/>
  <c r="H52" i="2"/>
  <c r="I52" i="2"/>
  <c r="K52" i="2" s="1"/>
  <c r="L52" i="2" s="1"/>
  <c r="J52" i="2"/>
  <c r="M52" i="2"/>
  <c r="N52" i="2"/>
  <c r="H53" i="2"/>
  <c r="I53" i="2"/>
  <c r="K53" i="2" s="1"/>
  <c r="L53" i="2" s="1"/>
  <c r="J53" i="2"/>
  <c r="M53" i="2"/>
  <c r="N53" i="2"/>
  <c r="P53" i="2"/>
  <c r="H54" i="2"/>
  <c r="I54" i="2"/>
  <c r="K54" i="2" s="1"/>
  <c r="L54" i="2" s="1"/>
  <c r="J54" i="2"/>
  <c r="M54" i="2"/>
  <c r="N54" i="2"/>
  <c r="P54" i="2"/>
  <c r="H55" i="2"/>
  <c r="I55" i="2"/>
  <c r="J55" i="2"/>
  <c r="M55" i="2"/>
  <c r="N55" i="2"/>
  <c r="P55" i="2"/>
  <c r="H56" i="2"/>
  <c r="I56" i="2"/>
  <c r="K56" i="2" s="1"/>
  <c r="L56" i="2" s="1"/>
  <c r="J56" i="2"/>
  <c r="M56" i="2"/>
  <c r="N56" i="2"/>
  <c r="P56" i="2"/>
  <c r="H57" i="2"/>
  <c r="I57" i="2"/>
  <c r="K57" i="2" s="1"/>
  <c r="L57" i="2" s="1"/>
  <c r="J57" i="2"/>
  <c r="M57" i="2"/>
  <c r="N57" i="2"/>
  <c r="P57" i="2"/>
  <c r="H58" i="2"/>
  <c r="I58" i="2"/>
  <c r="K58" i="2" s="1"/>
  <c r="L58" i="2" s="1"/>
  <c r="J58" i="2"/>
  <c r="M58" i="2"/>
  <c r="N58" i="2"/>
  <c r="P58" i="2"/>
  <c r="H59" i="2"/>
  <c r="I59" i="2"/>
  <c r="K59" i="2" s="1"/>
  <c r="L59" i="2" s="1"/>
  <c r="J59" i="2"/>
  <c r="M59" i="2"/>
  <c r="N59" i="2"/>
  <c r="P59" i="2"/>
  <c r="H60" i="2"/>
  <c r="I60" i="2"/>
  <c r="K60" i="2" s="1"/>
  <c r="L60" i="2" s="1"/>
  <c r="J60" i="2"/>
  <c r="M60" i="2"/>
  <c r="N60" i="2"/>
  <c r="H61" i="2"/>
  <c r="I61" i="2"/>
  <c r="K61" i="2" s="1"/>
  <c r="L61" i="2" s="1"/>
  <c r="J61" i="2"/>
  <c r="M61" i="2"/>
  <c r="N61" i="2"/>
  <c r="P61" i="2"/>
  <c r="K49" i="2" l="1"/>
  <c r="L49" i="2" s="1"/>
  <c r="F50" i="3"/>
  <c r="F49" i="3"/>
  <c r="E50" i="3"/>
  <c r="E49" i="3"/>
  <c r="H49" i="3"/>
  <c r="H50" i="3"/>
  <c r="G49" i="3"/>
  <c r="G50" i="3"/>
  <c r="K55" i="2"/>
  <c r="L55" i="2" s="1"/>
  <c r="H57" i="3"/>
  <c r="G57" i="3"/>
  <c r="F57" i="3"/>
  <c r="E57" i="3"/>
  <c r="K51" i="2"/>
  <c r="L51" i="2" s="1"/>
  <c r="AJ46" i="2"/>
  <c r="AI46" i="2"/>
  <c r="AH46" i="2"/>
  <c r="AA46" i="2"/>
  <c r="X46" i="2"/>
  <c r="AJ45" i="2"/>
  <c r="AI45" i="2"/>
  <c r="AH45" i="2"/>
  <c r="AA45" i="2"/>
  <c r="X45" i="2"/>
  <c r="AJ44" i="2"/>
  <c r="AI44" i="2"/>
  <c r="AH44" i="2"/>
  <c r="AA44" i="2"/>
  <c r="X44" i="2"/>
  <c r="AJ43" i="2"/>
  <c r="AI43" i="2"/>
  <c r="AH43" i="2"/>
  <c r="AA43" i="2"/>
  <c r="X43" i="2"/>
  <c r="AJ42" i="2"/>
  <c r="AI42" i="2"/>
  <c r="AH42" i="2"/>
  <c r="AA42" i="2"/>
  <c r="X42" i="2"/>
  <c r="AJ41" i="2"/>
  <c r="AI41" i="2"/>
  <c r="AH41" i="2"/>
  <c r="AA41" i="2"/>
  <c r="X41" i="2"/>
  <c r="AJ40" i="2"/>
  <c r="AI40" i="2"/>
  <c r="AH40" i="2"/>
  <c r="AA40" i="2"/>
  <c r="X40" i="2"/>
  <c r="AJ39" i="2"/>
  <c r="AI39" i="2"/>
  <c r="AH39" i="2"/>
  <c r="AA39" i="2"/>
  <c r="X39" i="2"/>
  <c r="AJ38" i="2"/>
  <c r="AI38" i="2"/>
  <c r="AH38" i="2"/>
  <c r="AA38" i="2"/>
  <c r="X38" i="2"/>
  <c r="AJ37" i="2"/>
  <c r="AI37" i="2"/>
  <c r="AH37" i="2"/>
  <c r="AA37" i="2"/>
  <c r="X37" i="2"/>
  <c r="AJ36" i="2"/>
  <c r="AI36" i="2"/>
  <c r="AH36" i="2"/>
  <c r="AA36" i="2"/>
  <c r="X36" i="2"/>
  <c r="D37" i="2"/>
  <c r="D38" i="2"/>
  <c r="D39" i="2"/>
  <c r="D40" i="2"/>
  <c r="D41" i="2"/>
  <c r="D42" i="2"/>
  <c r="D43" i="2"/>
  <c r="D44" i="2"/>
  <c r="D45" i="2"/>
  <c r="D46" i="2"/>
  <c r="D36" i="2"/>
  <c r="H36" i="2"/>
  <c r="I36" i="2"/>
  <c r="K36" i="2" s="1"/>
  <c r="L36" i="2" s="1"/>
  <c r="J36" i="2"/>
  <c r="M36" i="2"/>
  <c r="N36" i="2"/>
  <c r="P36" i="2"/>
  <c r="H37" i="2"/>
  <c r="I37" i="2"/>
  <c r="K37" i="2" s="1"/>
  <c r="L37" i="2" s="1"/>
  <c r="J37" i="2"/>
  <c r="M37" i="2"/>
  <c r="N37" i="2"/>
  <c r="P37" i="2"/>
  <c r="H38" i="2"/>
  <c r="I38" i="2"/>
  <c r="K38" i="2" s="1"/>
  <c r="L38" i="2" s="1"/>
  <c r="J38" i="2"/>
  <c r="M38" i="2"/>
  <c r="N38" i="2"/>
  <c r="P38" i="2"/>
  <c r="H39" i="2"/>
  <c r="I39" i="2"/>
  <c r="J39" i="2"/>
  <c r="M39" i="2"/>
  <c r="N39" i="2"/>
  <c r="P39" i="2"/>
  <c r="H40" i="2"/>
  <c r="I40" i="2"/>
  <c r="K40" i="2" s="1"/>
  <c r="L40" i="2" s="1"/>
  <c r="J40" i="2"/>
  <c r="M40" i="2"/>
  <c r="N40" i="2"/>
  <c r="P40" i="2"/>
  <c r="H41" i="2"/>
  <c r="I41" i="2"/>
  <c r="K41" i="2" s="1"/>
  <c r="L41" i="2" s="1"/>
  <c r="J41" i="2"/>
  <c r="M41" i="2"/>
  <c r="N41" i="2"/>
  <c r="P41" i="2"/>
  <c r="H42" i="2"/>
  <c r="I42" i="2"/>
  <c r="K42" i="2" s="1"/>
  <c r="L42" i="2" s="1"/>
  <c r="J42" i="2"/>
  <c r="M42" i="2"/>
  <c r="N42" i="2"/>
  <c r="H43" i="2"/>
  <c r="I43" i="2"/>
  <c r="J43" i="2"/>
  <c r="M43" i="2"/>
  <c r="N43" i="2"/>
  <c r="H44" i="2"/>
  <c r="I44" i="2"/>
  <c r="J44" i="2"/>
  <c r="M44" i="2"/>
  <c r="N44" i="2"/>
  <c r="P44" i="2"/>
  <c r="H45" i="2"/>
  <c r="I45" i="2"/>
  <c r="K45" i="2" s="1"/>
  <c r="L45" i="2" s="1"/>
  <c r="J45" i="2"/>
  <c r="M45" i="2"/>
  <c r="N45" i="2"/>
  <c r="P45" i="2"/>
  <c r="H46" i="2"/>
  <c r="I46" i="2"/>
  <c r="K46" i="2" s="1"/>
  <c r="L46" i="2" s="1"/>
  <c r="J46" i="2"/>
  <c r="M46" i="2"/>
  <c r="N46" i="2"/>
  <c r="P46" i="2"/>
  <c r="AH2" i="2"/>
  <c r="AI2" i="2"/>
  <c r="AJ2" i="2"/>
  <c r="AH3" i="2"/>
  <c r="AI3" i="2"/>
  <c r="AJ3" i="2"/>
  <c r="AH4" i="2"/>
  <c r="AI4" i="2"/>
  <c r="AJ4" i="2"/>
  <c r="AH5" i="2"/>
  <c r="AI5" i="2"/>
  <c r="AJ5" i="2"/>
  <c r="AH8" i="2"/>
  <c r="AI8" i="2"/>
  <c r="AJ8" i="2"/>
  <c r="AH12" i="2"/>
  <c r="AI12" i="2"/>
  <c r="AJ12" i="2"/>
  <c r="AH13" i="2"/>
  <c r="AI13" i="2"/>
  <c r="AJ13" i="2"/>
  <c r="AH14" i="2"/>
  <c r="AI14" i="2"/>
  <c r="AJ14" i="2"/>
  <c r="AA2" i="2"/>
  <c r="AA3" i="2"/>
  <c r="AA4" i="2"/>
  <c r="AA5" i="2"/>
  <c r="AA8" i="2"/>
  <c r="AA12" i="2"/>
  <c r="AA13" i="2"/>
  <c r="AA14" i="2"/>
  <c r="X2" i="2"/>
  <c r="X3" i="2"/>
  <c r="X4" i="2"/>
  <c r="X5" i="2"/>
  <c r="X8" i="2"/>
  <c r="X12" i="2"/>
  <c r="X13" i="2"/>
  <c r="X14" i="2"/>
  <c r="P35" i="2"/>
  <c r="H2" i="2"/>
  <c r="I2" i="2"/>
  <c r="K2" i="2" s="1"/>
  <c r="L2" i="2" s="1"/>
  <c r="J2" i="2"/>
  <c r="M2" i="2"/>
  <c r="N2" i="2"/>
  <c r="H3" i="2"/>
  <c r="I3" i="2"/>
  <c r="K3" i="2" s="1"/>
  <c r="L3" i="2" s="1"/>
  <c r="J3" i="2"/>
  <c r="M3" i="2"/>
  <c r="N3" i="2"/>
  <c r="H4" i="2"/>
  <c r="I4" i="2"/>
  <c r="K4" i="2" s="1"/>
  <c r="L4" i="2" s="1"/>
  <c r="J4" i="2"/>
  <c r="M4" i="2"/>
  <c r="N4" i="2"/>
  <c r="H5" i="2"/>
  <c r="I5" i="2"/>
  <c r="J5" i="2"/>
  <c r="M5" i="2"/>
  <c r="N5" i="2"/>
  <c r="H8" i="2"/>
  <c r="I8" i="2"/>
  <c r="K8" i="2" s="1"/>
  <c r="L8" i="2" s="1"/>
  <c r="J8" i="2"/>
  <c r="M8" i="2"/>
  <c r="N8" i="2"/>
  <c r="H12" i="2"/>
  <c r="I12" i="2"/>
  <c r="K12" i="2" s="1"/>
  <c r="L12" i="2" s="1"/>
  <c r="J12" i="2"/>
  <c r="M12" i="2"/>
  <c r="N12" i="2"/>
  <c r="H13" i="2"/>
  <c r="I13" i="2"/>
  <c r="K13" i="2" s="1"/>
  <c r="L13" i="2" s="1"/>
  <c r="J13" i="2"/>
  <c r="M13" i="2"/>
  <c r="N13" i="2"/>
  <c r="H14" i="2"/>
  <c r="I14" i="2"/>
  <c r="J14" i="2"/>
  <c r="M14" i="2"/>
  <c r="N14" i="2"/>
  <c r="K44" i="2" l="1"/>
  <c r="H62" i="3"/>
  <c r="G62" i="3"/>
  <c r="F62" i="3"/>
  <c r="E62" i="3"/>
  <c r="K5" i="2"/>
  <c r="L5" i="2" s="1"/>
  <c r="K43" i="2"/>
  <c r="L43" i="2" s="1"/>
  <c r="K14" i="2"/>
  <c r="L14" i="2" s="1"/>
  <c r="K39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2" i="2"/>
  <c r="AJ35" i="2"/>
  <c r="AI35" i="2"/>
  <c r="AH35" i="2"/>
  <c r="AA35" i="2"/>
  <c r="X35" i="2"/>
  <c r="AJ34" i="2"/>
  <c r="AI34" i="2"/>
  <c r="AH34" i="2"/>
  <c r="AA34" i="2"/>
  <c r="X34" i="2"/>
  <c r="AJ33" i="2"/>
  <c r="AI33" i="2"/>
  <c r="AH33" i="2"/>
  <c r="AA33" i="2"/>
  <c r="X33" i="2"/>
  <c r="AJ32" i="2"/>
  <c r="AI32" i="2"/>
  <c r="AH32" i="2"/>
  <c r="AA32" i="2"/>
  <c r="X32" i="2"/>
  <c r="AJ31" i="2"/>
  <c r="AI31" i="2"/>
  <c r="AH31" i="2"/>
  <c r="AA31" i="2"/>
  <c r="X31" i="2"/>
  <c r="AJ30" i="2"/>
  <c r="AI30" i="2"/>
  <c r="AH30" i="2"/>
  <c r="AA30" i="2"/>
  <c r="X30" i="2"/>
  <c r="AJ29" i="2"/>
  <c r="AI29" i="2"/>
  <c r="AH29" i="2"/>
  <c r="AA29" i="2"/>
  <c r="X29" i="2"/>
  <c r="AJ28" i="2"/>
  <c r="AI28" i="2"/>
  <c r="AH28" i="2"/>
  <c r="AA28" i="2"/>
  <c r="X28" i="2"/>
  <c r="AJ27" i="2"/>
  <c r="AI27" i="2"/>
  <c r="AH27" i="2"/>
  <c r="AA27" i="2"/>
  <c r="X27" i="2"/>
  <c r="AJ26" i="2"/>
  <c r="AI26" i="2"/>
  <c r="AH26" i="2"/>
  <c r="AA26" i="2"/>
  <c r="X26" i="2"/>
  <c r="AJ25" i="2"/>
  <c r="AI25" i="2"/>
  <c r="AH25" i="2"/>
  <c r="AA25" i="2"/>
  <c r="X25" i="2"/>
  <c r="AJ24" i="2"/>
  <c r="AI24" i="2"/>
  <c r="AH24" i="2"/>
  <c r="AA24" i="2"/>
  <c r="X24" i="2"/>
  <c r="AJ23" i="2"/>
  <c r="AI23" i="2"/>
  <c r="AH23" i="2"/>
  <c r="AA23" i="2"/>
  <c r="X23" i="2"/>
  <c r="AJ22" i="2"/>
  <c r="AI22" i="2"/>
  <c r="AH22" i="2"/>
  <c r="AA22" i="2"/>
  <c r="X22" i="2"/>
  <c r="H22" i="2"/>
  <c r="I22" i="2"/>
  <c r="K22" i="2" s="1"/>
  <c r="L22" i="2" s="1"/>
  <c r="J22" i="2"/>
  <c r="M22" i="2"/>
  <c r="N22" i="2"/>
  <c r="P22" i="2"/>
  <c r="H23" i="2"/>
  <c r="I23" i="2"/>
  <c r="K23" i="2" s="1"/>
  <c r="L23" i="2" s="1"/>
  <c r="J23" i="2"/>
  <c r="M23" i="2"/>
  <c r="N23" i="2"/>
  <c r="P23" i="2"/>
  <c r="H24" i="2"/>
  <c r="I24" i="2"/>
  <c r="F147" i="3" s="1"/>
  <c r="J24" i="2"/>
  <c r="M24" i="2"/>
  <c r="N24" i="2"/>
  <c r="P24" i="2"/>
  <c r="H25" i="2"/>
  <c r="I25" i="2"/>
  <c r="K25" i="2" s="1"/>
  <c r="L25" i="2" s="1"/>
  <c r="J25" i="2"/>
  <c r="M25" i="2"/>
  <c r="N25" i="2"/>
  <c r="P25" i="2"/>
  <c r="H26" i="2"/>
  <c r="I26" i="2"/>
  <c r="K26" i="2" s="1"/>
  <c r="L26" i="2" s="1"/>
  <c r="J26" i="2"/>
  <c r="M26" i="2"/>
  <c r="N26" i="2"/>
  <c r="P26" i="2"/>
  <c r="H27" i="2"/>
  <c r="I27" i="2"/>
  <c r="F116" i="3" s="1"/>
  <c r="J27" i="2"/>
  <c r="M27" i="2"/>
  <c r="N27" i="2"/>
  <c r="P27" i="2"/>
  <c r="H28" i="2"/>
  <c r="I28" i="2"/>
  <c r="J28" i="2"/>
  <c r="M28" i="2"/>
  <c r="N28" i="2"/>
  <c r="P28" i="2"/>
  <c r="H29" i="2"/>
  <c r="I29" i="2"/>
  <c r="J29" i="2"/>
  <c r="M29" i="2"/>
  <c r="N29" i="2"/>
  <c r="P29" i="2"/>
  <c r="H30" i="2"/>
  <c r="I30" i="2"/>
  <c r="K30" i="2" s="1"/>
  <c r="L30" i="2" s="1"/>
  <c r="J30" i="2"/>
  <c r="M30" i="2"/>
  <c r="N30" i="2"/>
  <c r="P30" i="2"/>
  <c r="H31" i="2"/>
  <c r="I31" i="2"/>
  <c r="J31" i="2"/>
  <c r="M31" i="2"/>
  <c r="N31" i="2"/>
  <c r="P31" i="2"/>
  <c r="H32" i="2"/>
  <c r="I32" i="2"/>
  <c r="K32" i="2" s="1"/>
  <c r="L32" i="2" s="1"/>
  <c r="J32" i="2"/>
  <c r="M32" i="2"/>
  <c r="N32" i="2"/>
  <c r="P32" i="2"/>
  <c r="H33" i="2"/>
  <c r="I33" i="2"/>
  <c r="K33" i="2" s="1"/>
  <c r="L33" i="2" s="1"/>
  <c r="J33" i="2"/>
  <c r="M33" i="2"/>
  <c r="N33" i="2"/>
  <c r="P33" i="2"/>
  <c r="H34" i="2"/>
  <c r="I34" i="2"/>
  <c r="J34" i="2"/>
  <c r="M34" i="2"/>
  <c r="N34" i="2"/>
  <c r="P34" i="2"/>
  <c r="H35" i="2"/>
  <c r="I35" i="2"/>
  <c r="K35" i="2" s="1"/>
  <c r="L35" i="2" s="1"/>
  <c r="J35" i="2"/>
  <c r="M35" i="2"/>
  <c r="N35" i="2"/>
  <c r="AJ21" i="2"/>
  <c r="AI21" i="2"/>
  <c r="AH21" i="2"/>
  <c r="AA21" i="2"/>
  <c r="X21" i="2"/>
  <c r="AJ20" i="2"/>
  <c r="AI20" i="2"/>
  <c r="AH20" i="2"/>
  <c r="AA20" i="2"/>
  <c r="X20" i="2"/>
  <c r="D21" i="2"/>
  <c r="D20" i="2"/>
  <c r="H20" i="2"/>
  <c r="I20" i="2"/>
  <c r="J20" i="2"/>
  <c r="M20" i="2"/>
  <c r="N20" i="2"/>
  <c r="P20" i="2"/>
  <c r="H21" i="2"/>
  <c r="I21" i="2"/>
  <c r="K21" i="2" s="1"/>
  <c r="L21" i="2" s="1"/>
  <c r="J21" i="2"/>
  <c r="M21" i="2"/>
  <c r="N21" i="2"/>
  <c r="P21" i="2"/>
  <c r="P19" i="2"/>
  <c r="P18" i="2"/>
  <c r="P17" i="2"/>
  <c r="P16" i="2"/>
  <c r="P15" i="2"/>
  <c r="F177" i="3"/>
  <c r="E177" i="3"/>
  <c r="D177" i="3"/>
  <c r="C177" i="3"/>
  <c r="F176" i="3"/>
  <c r="E176" i="3"/>
  <c r="D176" i="3"/>
  <c r="C176" i="3"/>
  <c r="D175" i="3"/>
  <c r="C175" i="3"/>
  <c r="F174" i="3"/>
  <c r="E174" i="3"/>
  <c r="D174" i="3"/>
  <c r="C174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D161" i="3"/>
  <c r="C161" i="3"/>
  <c r="F160" i="3"/>
  <c r="E160" i="3"/>
  <c r="D160" i="3"/>
  <c r="C160" i="3"/>
  <c r="F159" i="3"/>
  <c r="E159" i="3"/>
  <c r="D159" i="3"/>
  <c r="C159" i="3"/>
  <c r="D158" i="3"/>
  <c r="C158" i="3"/>
  <c r="D157" i="3"/>
  <c r="C157" i="3"/>
  <c r="F156" i="3"/>
  <c r="E156" i="3"/>
  <c r="D156" i="3"/>
  <c r="C156" i="3"/>
  <c r="D154" i="3"/>
  <c r="C154" i="3"/>
  <c r="F153" i="3"/>
  <c r="E153" i="3"/>
  <c r="D153" i="3"/>
  <c r="C153" i="3"/>
  <c r="D152" i="3"/>
  <c r="C152" i="3"/>
  <c r="D151" i="3"/>
  <c r="C151" i="3"/>
  <c r="D150" i="3"/>
  <c r="C150" i="3"/>
  <c r="F149" i="3"/>
  <c r="E149" i="3"/>
  <c r="D149" i="3"/>
  <c r="C149" i="3"/>
  <c r="D148" i="3"/>
  <c r="C148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F110" i="3"/>
  <c r="E110" i="3"/>
  <c r="D110" i="3"/>
  <c r="C110" i="3"/>
  <c r="E109" i="3"/>
  <c r="D109" i="3"/>
  <c r="C109" i="3"/>
  <c r="F108" i="3"/>
  <c r="E108" i="3"/>
  <c r="D108" i="3"/>
  <c r="C108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X16" i="2"/>
  <c r="AA16" i="2"/>
  <c r="AH16" i="2"/>
  <c r="AI16" i="2"/>
  <c r="AJ16" i="2"/>
  <c r="X17" i="2"/>
  <c r="AA17" i="2"/>
  <c r="AH17" i="2"/>
  <c r="AI17" i="2"/>
  <c r="AJ17" i="2"/>
  <c r="X18" i="2"/>
  <c r="AA18" i="2"/>
  <c r="AH18" i="2"/>
  <c r="AI18" i="2"/>
  <c r="AJ18" i="2"/>
  <c r="X19" i="2"/>
  <c r="AA19" i="2"/>
  <c r="AH19" i="2"/>
  <c r="AI19" i="2"/>
  <c r="AJ19" i="2"/>
  <c r="H15" i="2"/>
  <c r="H16" i="2"/>
  <c r="H17" i="2"/>
  <c r="H18" i="2"/>
  <c r="H19" i="2"/>
  <c r="I16" i="2"/>
  <c r="K16" i="2" s="1"/>
  <c r="L16" i="2" s="1"/>
  <c r="J16" i="2"/>
  <c r="M16" i="2"/>
  <c r="N16" i="2"/>
  <c r="I17" i="2"/>
  <c r="J17" i="2"/>
  <c r="M17" i="2"/>
  <c r="N17" i="2"/>
  <c r="I18" i="2"/>
  <c r="K18" i="2" s="1"/>
  <c r="L18" i="2" s="1"/>
  <c r="J18" i="2"/>
  <c r="M18" i="2"/>
  <c r="N18" i="2"/>
  <c r="I19" i="2"/>
  <c r="J19" i="2"/>
  <c r="M19" i="2"/>
  <c r="N19" i="2"/>
  <c r="D16" i="2"/>
  <c r="D17" i="2"/>
  <c r="D18" i="2"/>
  <c r="D19" i="2"/>
  <c r="D15" i="2"/>
  <c r="I15" i="2"/>
  <c r="K15" i="2" s="1"/>
  <c r="L15" i="2" s="1"/>
  <c r="J15" i="2"/>
  <c r="M15" i="2"/>
  <c r="N15" i="2"/>
  <c r="X15" i="2"/>
  <c r="AA15" i="2"/>
  <c r="AH15" i="2"/>
  <c r="AI15" i="2"/>
  <c r="AJ15" i="2"/>
  <c r="K31" i="2" l="1"/>
  <c r="L31" i="2" s="1"/>
  <c r="H59" i="3"/>
  <c r="G59" i="3"/>
  <c r="F59" i="3"/>
  <c r="E59" i="3"/>
  <c r="E116" i="3"/>
  <c r="E147" i="3"/>
  <c r="C202" i="3"/>
  <c r="F150" i="3"/>
  <c r="C210" i="3"/>
  <c r="D203" i="3"/>
  <c r="C212" i="3"/>
  <c r="E167" i="3"/>
  <c r="C204" i="3"/>
  <c r="D212" i="3"/>
  <c r="D205" i="3"/>
  <c r="C206" i="3"/>
  <c r="C208" i="3"/>
  <c r="D208" i="3"/>
  <c r="D201" i="3"/>
  <c r="D209" i="3"/>
  <c r="L44" i="2"/>
  <c r="H188" i="3"/>
  <c r="G192" i="3"/>
  <c r="H195" i="3"/>
  <c r="H187" i="3"/>
  <c r="G191" i="3"/>
  <c r="F195" i="3"/>
  <c r="F187" i="3"/>
  <c r="E191" i="3"/>
  <c r="F186" i="3"/>
  <c r="G193" i="3"/>
  <c r="E184" i="3"/>
  <c r="H194" i="3"/>
  <c r="H186" i="3"/>
  <c r="G190" i="3"/>
  <c r="F194" i="3"/>
  <c r="E190" i="3"/>
  <c r="E193" i="3"/>
  <c r="F188" i="3"/>
  <c r="H193" i="3"/>
  <c r="H185" i="3"/>
  <c r="G189" i="3"/>
  <c r="F193" i="3"/>
  <c r="F185" i="3"/>
  <c r="E189" i="3"/>
  <c r="E188" i="3"/>
  <c r="E185" i="3"/>
  <c r="H192" i="3"/>
  <c r="H184" i="3"/>
  <c r="G188" i="3"/>
  <c r="F192" i="3"/>
  <c r="F184" i="3"/>
  <c r="G184" i="3"/>
  <c r="H191" i="3"/>
  <c r="G195" i="3"/>
  <c r="G187" i="3"/>
  <c r="F191" i="3"/>
  <c r="E195" i="3"/>
  <c r="E187" i="3"/>
  <c r="E194" i="3"/>
  <c r="G185" i="3"/>
  <c r="H190" i="3"/>
  <c r="G194" i="3"/>
  <c r="G186" i="3"/>
  <c r="F190" i="3"/>
  <c r="E186" i="3"/>
  <c r="F189" i="3"/>
  <c r="E192" i="3"/>
  <c r="H189" i="3"/>
  <c r="E150" i="3"/>
  <c r="D204" i="3"/>
  <c r="D211" i="3"/>
  <c r="D207" i="3"/>
  <c r="D213" i="3"/>
  <c r="C203" i="3"/>
  <c r="C207" i="3"/>
  <c r="C211" i="3"/>
  <c r="F173" i="3"/>
  <c r="F152" i="3"/>
  <c r="C201" i="3"/>
  <c r="C205" i="3"/>
  <c r="C209" i="3"/>
  <c r="C213" i="3"/>
  <c r="K34" i="2"/>
  <c r="L34" i="2" s="1"/>
  <c r="E161" i="3"/>
  <c r="F167" i="3"/>
  <c r="D202" i="3"/>
  <c r="D206" i="3"/>
  <c r="D210" i="3"/>
  <c r="K29" i="2"/>
  <c r="L29" i="2" s="1"/>
  <c r="K27" i="2"/>
  <c r="L27" i="2" s="1"/>
  <c r="F161" i="3"/>
  <c r="E173" i="3"/>
  <c r="L39" i="2"/>
  <c r="K20" i="2"/>
  <c r="L20" i="2" s="1"/>
  <c r="E175" i="3"/>
  <c r="K28" i="2"/>
  <c r="L28" i="2" s="1"/>
  <c r="K24" i="2"/>
  <c r="L24" i="2" s="1"/>
  <c r="K19" i="2"/>
  <c r="L19" i="2" s="1"/>
  <c r="F175" i="3"/>
  <c r="E152" i="3"/>
  <c r="E154" i="3"/>
  <c r="F112" i="3"/>
  <c r="F114" i="3"/>
  <c r="F154" i="3"/>
  <c r="F109" i="3"/>
  <c r="F111" i="3"/>
  <c r="F113" i="3"/>
  <c r="F115" i="3"/>
  <c r="E106" i="3"/>
  <c r="K17" i="2"/>
  <c r="F157" i="3"/>
  <c r="E158" i="3"/>
  <c r="F151" i="3"/>
  <c r="E123" i="3"/>
  <c r="E151" i="3"/>
  <c r="F106" i="3"/>
  <c r="F123" i="3"/>
  <c r="F158" i="3"/>
  <c r="E148" i="3"/>
  <c r="E157" i="3"/>
  <c r="F148" i="3"/>
  <c r="I143" i="3"/>
  <c r="J143" i="3"/>
  <c r="M143" i="3"/>
  <c r="N143" i="3"/>
  <c r="O143" i="3"/>
  <c r="P143" i="3"/>
  <c r="F212" i="3" l="1"/>
  <c r="F207" i="3"/>
  <c r="E210" i="3"/>
  <c r="E205" i="3"/>
  <c r="F209" i="3"/>
  <c r="E212" i="3"/>
  <c r="E209" i="3"/>
  <c r="E211" i="3"/>
  <c r="F213" i="3"/>
  <c r="F204" i="3"/>
  <c r="E213" i="3"/>
  <c r="E202" i="3"/>
  <c r="F206" i="3"/>
  <c r="F201" i="3"/>
  <c r="E204" i="3"/>
  <c r="F208" i="3"/>
  <c r="E201" i="3"/>
  <c r="F203" i="3"/>
  <c r="E206" i="3"/>
  <c r="F210" i="3"/>
  <c r="E207" i="3"/>
  <c r="F211" i="3"/>
  <c r="F202" i="3"/>
  <c r="E203" i="3"/>
  <c r="F205" i="3"/>
  <c r="E208" i="3"/>
  <c r="L17" i="2"/>
  <c r="L143" i="3"/>
  <c r="K143" i="3"/>
  <c r="R143" i="3"/>
  <c r="Q143" i="3"/>
  <c r="G143" i="3"/>
  <c r="T143" i="3"/>
  <c r="S143" i="3"/>
  <c r="H143" i="3"/>
  <c r="J52" i="3" l="1"/>
  <c r="I52" i="3"/>
  <c r="Q170" i="3" l="1"/>
  <c r="R170" i="3"/>
  <c r="K170" i="3" l="1"/>
  <c r="L170" i="3"/>
  <c r="I170" i="3" l="1"/>
  <c r="J170" i="3"/>
  <c r="M170" i="3"/>
  <c r="N170" i="3"/>
  <c r="O170" i="3"/>
  <c r="P170" i="3"/>
  <c r="G170" i="3"/>
  <c r="H170" i="3"/>
  <c r="S170" i="3"/>
  <c r="T170" i="3"/>
  <c r="J80" i="3" l="1"/>
  <c r="I80" i="3"/>
  <c r="J83" i="3"/>
  <c r="I83" i="3"/>
  <c r="M134" i="3"/>
  <c r="N134" i="3"/>
  <c r="O134" i="3"/>
  <c r="P134" i="3"/>
  <c r="Q134" i="3"/>
  <c r="R134" i="3"/>
  <c r="S134" i="3"/>
  <c r="T134" i="3"/>
  <c r="K135" i="3"/>
  <c r="L135" i="3"/>
  <c r="M135" i="3"/>
  <c r="N135" i="3"/>
  <c r="O135" i="3"/>
  <c r="P135" i="3"/>
  <c r="Q135" i="3"/>
  <c r="R135" i="3"/>
  <c r="S135" i="3"/>
  <c r="T135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M138" i="3"/>
  <c r="N138" i="3"/>
  <c r="O138" i="3"/>
  <c r="P138" i="3"/>
  <c r="S138" i="3"/>
  <c r="T138" i="3"/>
  <c r="M139" i="3"/>
  <c r="N139" i="3"/>
  <c r="S139" i="3"/>
  <c r="T139" i="3"/>
  <c r="M140" i="3"/>
  <c r="N140" i="3"/>
  <c r="Q140" i="3"/>
  <c r="R140" i="3"/>
  <c r="S140" i="3"/>
  <c r="T140" i="3"/>
  <c r="M141" i="3"/>
  <c r="N141" i="3"/>
  <c r="Q141" i="3"/>
  <c r="R141" i="3"/>
  <c r="S141" i="3"/>
  <c r="T141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O145" i="3"/>
  <c r="P145" i="3"/>
  <c r="S145" i="3"/>
  <c r="T145" i="3"/>
  <c r="O146" i="3"/>
  <c r="P146" i="3"/>
  <c r="Q146" i="3"/>
  <c r="R146" i="3"/>
  <c r="S146" i="3"/>
  <c r="T146" i="3"/>
  <c r="K147" i="3"/>
  <c r="L147" i="3"/>
  <c r="O147" i="3"/>
  <c r="P147" i="3"/>
  <c r="Q147" i="3"/>
  <c r="R147" i="3"/>
  <c r="S147" i="3"/>
  <c r="T147" i="3"/>
  <c r="Q148" i="3"/>
  <c r="R148" i="3"/>
  <c r="S148" i="3"/>
  <c r="T148" i="3"/>
  <c r="I149" i="3"/>
  <c r="J149" i="3"/>
  <c r="M149" i="3"/>
  <c r="N149" i="3"/>
  <c r="S150" i="3"/>
  <c r="T150" i="3"/>
  <c r="O151" i="3"/>
  <c r="P151" i="3"/>
  <c r="K152" i="3"/>
  <c r="L152" i="3"/>
  <c r="O152" i="3"/>
  <c r="P152" i="3"/>
  <c r="Q152" i="3"/>
  <c r="R152" i="3"/>
  <c r="S152" i="3"/>
  <c r="T152" i="3"/>
  <c r="O153" i="3"/>
  <c r="P153" i="3"/>
  <c r="Q153" i="3"/>
  <c r="R153" i="3"/>
  <c r="S153" i="3"/>
  <c r="T153" i="3"/>
  <c r="Q154" i="3"/>
  <c r="R154" i="3"/>
  <c r="S154" i="3"/>
  <c r="T154" i="3"/>
  <c r="T133" i="3"/>
  <c r="S133" i="3"/>
  <c r="R133" i="3"/>
  <c r="Q133" i="3"/>
  <c r="P133" i="3"/>
  <c r="O133" i="3"/>
  <c r="N133" i="3"/>
  <c r="M133" i="3"/>
  <c r="H144" i="3" l="1"/>
  <c r="H136" i="3"/>
  <c r="G137" i="3"/>
  <c r="G142" i="3"/>
  <c r="G136" i="3"/>
  <c r="J51" i="3"/>
  <c r="I46" i="3"/>
  <c r="I42" i="3"/>
  <c r="I44" i="3"/>
  <c r="J46" i="3"/>
  <c r="I53" i="3"/>
  <c r="I51" i="3"/>
  <c r="I45" i="3"/>
  <c r="J44" i="3"/>
  <c r="J42" i="3"/>
  <c r="J45" i="3"/>
  <c r="H142" i="3"/>
  <c r="H137" i="3"/>
  <c r="J53" i="3"/>
  <c r="G144" i="3"/>
  <c r="M154" i="3" l="1"/>
  <c r="N154" i="3"/>
  <c r="K149" i="3"/>
  <c r="L149" i="3"/>
  <c r="O149" i="3"/>
  <c r="P149" i="3"/>
  <c r="K139" i="3"/>
  <c r="L139" i="3"/>
  <c r="Q149" i="3"/>
  <c r="R149" i="3"/>
  <c r="Q139" i="3"/>
  <c r="R139" i="3"/>
  <c r="Q151" i="3"/>
  <c r="R151" i="3"/>
  <c r="T149" i="3"/>
  <c r="G149" i="3"/>
  <c r="S149" i="3"/>
  <c r="H149" i="3"/>
  <c r="T151" i="3"/>
  <c r="S151" i="3"/>
  <c r="O139" i="3"/>
  <c r="P139" i="3"/>
  <c r="O154" i="3"/>
  <c r="P154" i="3"/>
  <c r="I58" i="3" l="1"/>
  <c r="J58" i="3"/>
  <c r="J47" i="3"/>
  <c r="I47" i="3"/>
  <c r="C64" i="3"/>
  <c r="S155" i="3"/>
  <c r="T155" i="3"/>
  <c r="D64" i="3"/>
  <c r="O150" i="3" l="1"/>
  <c r="P150" i="3"/>
  <c r="T127" i="3"/>
  <c r="S127" i="3"/>
  <c r="O140" i="3" l="1"/>
  <c r="O141" i="3"/>
  <c r="P140" i="3"/>
  <c r="P141" i="3"/>
  <c r="R127" i="3"/>
  <c r="Q127" i="3"/>
  <c r="O148" i="3" l="1"/>
  <c r="O155" i="3" s="1"/>
  <c r="P148" i="3"/>
  <c r="P155" i="3" s="1"/>
  <c r="I134" i="3"/>
  <c r="J134" i="3"/>
  <c r="I50" i="3" l="1"/>
  <c r="J50" i="3"/>
  <c r="J49" i="3"/>
  <c r="I49" i="3"/>
  <c r="I63" i="3"/>
  <c r="J63" i="3"/>
  <c r="J43" i="3"/>
  <c r="I43" i="3"/>
  <c r="M145" i="3" l="1"/>
  <c r="N145" i="3"/>
  <c r="R145" i="3"/>
  <c r="Q145" i="3"/>
  <c r="M147" i="3" l="1"/>
  <c r="N147" i="3"/>
  <c r="M152" i="3"/>
  <c r="N152" i="3"/>
  <c r="J61" i="3" l="1"/>
  <c r="I61" i="3"/>
  <c r="I56" i="3"/>
  <c r="J56" i="3"/>
  <c r="I54" i="3"/>
  <c r="J54" i="3"/>
  <c r="H135" i="3" l="1"/>
  <c r="I135" i="3"/>
  <c r="J135" i="3"/>
  <c r="G135" i="3"/>
  <c r="M150" i="3" l="1"/>
  <c r="N150" i="3"/>
  <c r="Q150" i="3"/>
  <c r="R150" i="3"/>
  <c r="O127" i="3"/>
  <c r="P127" i="3"/>
  <c r="J127" i="3" l="1"/>
  <c r="I127" i="3"/>
  <c r="N146" i="3"/>
  <c r="M146" i="3"/>
  <c r="J59" i="3"/>
  <c r="I59" i="3"/>
  <c r="J38" i="3" l="1"/>
  <c r="I38" i="3"/>
  <c r="I55" i="3"/>
  <c r="J55" i="3"/>
  <c r="K173" i="3" l="1"/>
  <c r="L173" i="3"/>
  <c r="O173" i="3"/>
  <c r="P173" i="3"/>
  <c r="M151" i="3" l="1"/>
  <c r="N151" i="3"/>
  <c r="J173" i="3"/>
  <c r="I173" i="3"/>
  <c r="M173" i="3"/>
  <c r="N173" i="3"/>
  <c r="R173" i="3"/>
  <c r="Q173" i="3"/>
  <c r="S173" i="3"/>
  <c r="G173" i="3"/>
  <c r="T173" i="3"/>
  <c r="H173" i="3"/>
  <c r="J82" i="3" l="1"/>
  <c r="I82" i="3"/>
  <c r="J140" i="3" l="1"/>
  <c r="J141" i="3"/>
  <c r="I141" i="3"/>
  <c r="I140" i="3"/>
  <c r="I133" i="3" l="1"/>
  <c r="J133" i="3"/>
  <c r="G139" i="3" l="1"/>
  <c r="H139" i="3"/>
  <c r="I139" i="3"/>
  <c r="J139" i="3"/>
  <c r="M100" i="3"/>
  <c r="N100" i="3"/>
  <c r="O100" i="3"/>
  <c r="P100" i="3"/>
  <c r="M148" i="3" l="1"/>
  <c r="N148" i="3"/>
  <c r="I138" i="3"/>
  <c r="J138" i="3"/>
  <c r="J152" i="3"/>
  <c r="G147" i="3"/>
  <c r="H147" i="3"/>
  <c r="G152" i="3"/>
  <c r="J147" i="3"/>
  <c r="I147" i="3"/>
  <c r="H152" i="3"/>
  <c r="I152" i="3"/>
  <c r="K146" i="3"/>
  <c r="L146" i="3"/>
  <c r="G148" i="3"/>
  <c r="H148" i="3"/>
  <c r="I148" i="3"/>
  <c r="J148" i="3"/>
  <c r="L148" i="3"/>
  <c r="K148" i="3"/>
  <c r="K100" i="3"/>
  <c r="L100" i="3"/>
  <c r="Q100" i="3"/>
  <c r="R100" i="3"/>
  <c r="T100" i="3"/>
  <c r="S100" i="3"/>
  <c r="J57" i="3" l="1"/>
  <c r="I57" i="3"/>
  <c r="K138" i="3"/>
  <c r="L138" i="3"/>
  <c r="G138" i="3"/>
  <c r="H138" i="3"/>
  <c r="Q138" i="3"/>
  <c r="Q155" i="3" s="1"/>
  <c r="R138" i="3"/>
  <c r="R155" i="3" s="1"/>
  <c r="I48" i="3" l="1"/>
  <c r="J48" i="3"/>
  <c r="K145" i="3" l="1"/>
  <c r="L145" i="3"/>
  <c r="K154" i="3"/>
  <c r="L154" i="3"/>
  <c r="I100" i="3" l="1"/>
  <c r="J100" i="3"/>
  <c r="G100" i="3"/>
  <c r="H100" i="3"/>
  <c r="J14" i="3" l="1"/>
  <c r="I14" i="3"/>
  <c r="M153" i="3" l="1"/>
  <c r="M155" i="3" s="1"/>
  <c r="N153" i="3"/>
  <c r="N155" i="3" s="1"/>
  <c r="G140" i="3"/>
  <c r="G141" i="3"/>
  <c r="H140" i="3"/>
  <c r="H141" i="3"/>
  <c r="K141" i="3"/>
  <c r="K140" i="3"/>
  <c r="L140" i="3"/>
  <c r="L141" i="3"/>
  <c r="I62" i="3" l="1"/>
  <c r="J62" i="3"/>
  <c r="K41" i="3"/>
  <c r="G64" i="3"/>
  <c r="F64" i="3"/>
  <c r="K151" i="3"/>
  <c r="L151" i="3"/>
  <c r="L133" i="3"/>
  <c r="K133" i="3"/>
  <c r="G145" i="3"/>
  <c r="H145" i="3"/>
  <c r="J145" i="3"/>
  <c r="I145" i="3"/>
  <c r="I60" i="3" l="1"/>
  <c r="I64" i="3" s="1"/>
  <c r="E64" i="3"/>
  <c r="J60" i="3"/>
  <c r="J64" i="3" s="1"/>
  <c r="H64" i="3"/>
  <c r="C155" i="3"/>
  <c r="G133" i="3"/>
  <c r="D155" i="3"/>
  <c r="H133" i="3"/>
  <c r="K153" i="3"/>
  <c r="L153" i="3"/>
  <c r="K134" i="3" l="1"/>
  <c r="L134" i="3"/>
  <c r="H134" i="3" l="1"/>
  <c r="G134" i="3"/>
  <c r="M127" i="3" l="1"/>
  <c r="N127" i="3"/>
  <c r="J151" i="3" l="1"/>
  <c r="I151" i="3"/>
  <c r="G151" i="3"/>
  <c r="H151" i="3"/>
  <c r="J146" i="3"/>
  <c r="I146" i="3"/>
  <c r="L127" i="3"/>
  <c r="K127" i="3"/>
  <c r="G127" i="3"/>
  <c r="H127" i="3"/>
  <c r="L34" i="3" l="1"/>
  <c r="K34" i="3"/>
  <c r="L64" i="3"/>
  <c r="K64" i="3"/>
  <c r="H146" i="3"/>
  <c r="G146" i="3"/>
  <c r="L150" i="3"/>
  <c r="L155" i="3" s="1"/>
  <c r="K150" i="3"/>
  <c r="K155" i="3" s="1"/>
  <c r="J154" i="3"/>
  <c r="G154" i="3"/>
  <c r="H154" i="3"/>
  <c r="I154" i="3"/>
  <c r="J153" i="3"/>
  <c r="G153" i="3"/>
  <c r="H153" i="3"/>
  <c r="I153" i="3"/>
  <c r="I150" i="3" l="1"/>
  <c r="I155" i="3" s="1"/>
  <c r="J150" i="3"/>
  <c r="J155" i="3" s="1"/>
  <c r="T129" i="3"/>
  <c r="O94" i="3"/>
  <c r="P94" i="3"/>
  <c r="O95" i="3"/>
  <c r="P95" i="3"/>
  <c r="O96" i="3"/>
  <c r="P96" i="3"/>
  <c r="O98" i="3"/>
  <c r="P98" i="3"/>
  <c r="O99" i="3"/>
  <c r="P99" i="3"/>
  <c r="O101" i="3"/>
  <c r="P101" i="3"/>
  <c r="S101" i="3"/>
  <c r="T101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M103" i="3"/>
  <c r="N103" i="3"/>
  <c r="O103" i="3"/>
  <c r="P103" i="3"/>
  <c r="Q103" i="3"/>
  <c r="R103" i="3"/>
  <c r="S103" i="3"/>
  <c r="T103" i="3"/>
  <c r="O104" i="3"/>
  <c r="P104" i="3"/>
  <c r="I105" i="3"/>
  <c r="J105" i="3"/>
  <c r="M105" i="3"/>
  <c r="N105" i="3"/>
  <c r="O105" i="3"/>
  <c r="P105" i="3"/>
  <c r="Q105" i="3"/>
  <c r="R105" i="3"/>
  <c r="S105" i="3"/>
  <c r="T105" i="3"/>
  <c r="O106" i="3"/>
  <c r="P106" i="3"/>
  <c r="Q108" i="3"/>
  <c r="R108" i="3"/>
  <c r="S108" i="3"/>
  <c r="T108" i="3"/>
  <c r="Q109" i="3"/>
  <c r="R109" i="3"/>
  <c r="S109" i="3"/>
  <c r="T109" i="3"/>
  <c r="M110" i="3"/>
  <c r="N110" i="3"/>
  <c r="O110" i="3"/>
  <c r="P110" i="3"/>
  <c r="Q110" i="3"/>
  <c r="R110" i="3"/>
  <c r="S110" i="3"/>
  <c r="T110" i="3"/>
  <c r="Q111" i="3"/>
  <c r="R111" i="3"/>
  <c r="S111" i="3"/>
  <c r="T111" i="3"/>
  <c r="Q112" i="3"/>
  <c r="R112" i="3"/>
  <c r="S112" i="3"/>
  <c r="T112" i="3"/>
  <c r="Q113" i="3"/>
  <c r="R113" i="3"/>
  <c r="S113" i="3"/>
  <c r="T113" i="3"/>
  <c r="Q114" i="3"/>
  <c r="R114" i="3"/>
  <c r="S114" i="3"/>
  <c r="T114" i="3"/>
  <c r="Q115" i="3"/>
  <c r="R115" i="3"/>
  <c r="S115" i="3"/>
  <c r="T115" i="3"/>
  <c r="O116" i="3"/>
  <c r="P116" i="3"/>
  <c r="S116" i="3"/>
  <c r="T116" i="3"/>
  <c r="O117" i="3"/>
  <c r="P117" i="3"/>
  <c r="O118" i="3"/>
  <c r="P118" i="3"/>
  <c r="M119" i="3"/>
  <c r="N119" i="3"/>
  <c r="O119" i="3"/>
  <c r="P119" i="3"/>
  <c r="Q119" i="3"/>
  <c r="R119" i="3"/>
  <c r="S119" i="3"/>
  <c r="T119" i="3"/>
  <c r="M120" i="3"/>
  <c r="N120" i="3"/>
  <c r="O120" i="3"/>
  <c r="P120" i="3"/>
  <c r="Q120" i="3"/>
  <c r="R120" i="3"/>
  <c r="S120" i="3"/>
  <c r="T120" i="3"/>
  <c r="M121" i="3"/>
  <c r="N121" i="3"/>
  <c r="O121" i="3"/>
  <c r="P121" i="3"/>
  <c r="Q121" i="3"/>
  <c r="R121" i="3"/>
  <c r="S121" i="3"/>
  <c r="T121" i="3"/>
  <c r="M122" i="3"/>
  <c r="N122" i="3"/>
  <c r="O122" i="3"/>
  <c r="P122" i="3"/>
  <c r="Q122" i="3"/>
  <c r="R122" i="3"/>
  <c r="S122" i="3"/>
  <c r="T122" i="3"/>
  <c r="K123" i="3"/>
  <c r="L123" i="3"/>
  <c r="O123" i="3"/>
  <c r="P123" i="3"/>
  <c r="O125" i="3"/>
  <c r="P125" i="3"/>
  <c r="Q125" i="3"/>
  <c r="R125" i="3"/>
  <c r="Q126" i="3"/>
  <c r="R126" i="3"/>
  <c r="S126" i="3"/>
  <c r="T126" i="3"/>
  <c r="S128" i="3"/>
  <c r="T128" i="3"/>
  <c r="M129" i="3"/>
  <c r="N129" i="3"/>
  <c r="O129" i="3"/>
  <c r="S130" i="3"/>
  <c r="T130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O156" i="3"/>
  <c r="P156" i="3"/>
  <c r="S157" i="3"/>
  <c r="T157" i="3"/>
  <c r="O158" i="3"/>
  <c r="P158" i="3"/>
  <c r="S158" i="3"/>
  <c r="T158" i="3"/>
  <c r="S159" i="3"/>
  <c r="T159" i="3"/>
  <c r="O160" i="3"/>
  <c r="P160" i="3"/>
  <c r="O161" i="3"/>
  <c r="P161" i="3"/>
  <c r="O166" i="3"/>
  <c r="P166" i="3"/>
  <c r="S166" i="3"/>
  <c r="T166" i="3"/>
  <c r="Q167" i="3"/>
  <c r="R167" i="3"/>
  <c r="S167" i="3"/>
  <c r="T167" i="3"/>
  <c r="O168" i="3"/>
  <c r="P168" i="3"/>
  <c r="O169" i="3"/>
  <c r="P169" i="3"/>
  <c r="O171" i="3"/>
  <c r="P171" i="3"/>
  <c r="S171" i="3"/>
  <c r="T171" i="3"/>
  <c r="M172" i="3"/>
  <c r="N172" i="3"/>
  <c r="O172" i="3"/>
  <c r="P172" i="3"/>
  <c r="Q172" i="3"/>
  <c r="R172" i="3"/>
  <c r="S172" i="3"/>
  <c r="T172" i="3"/>
  <c r="M174" i="3"/>
  <c r="N174" i="3"/>
  <c r="O174" i="3"/>
  <c r="P174" i="3"/>
  <c r="Q174" i="3"/>
  <c r="R174" i="3"/>
  <c r="S174" i="3"/>
  <c r="T174" i="3"/>
  <c r="O175" i="3"/>
  <c r="P175" i="3"/>
  <c r="Q175" i="3"/>
  <c r="R175" i="3"/>
  <c r="S175" i="3"/>
  <c r="T175" i="3"/>
  <c r="O176" i="3"/>
  <c r="P176" i="3"/>
  <c r="S176" i="3"/>
  <c r="T176" i="3"/>
  <c r="O177" i="3"/>
  <c r="P177" i="3"/>
  <c r="B196" i="3"/>
  <c r="B214" i="3"/>
  <c r="H150" i="3" l="1"/>
  <c r="H155" i="3" s="1"/>
  <c r="F155" i="3"/>
  <c r="G150" i="3"/>
  <c r="G155" i="3" s="1"/>
  <c r="E155" i="3"/>
  <c r="P129" i="3"/>
  <c r="I12" i="3"/>
  <c r="N94" i="3"/>
  <c r="Q129" i="3"/>
  <c r="M94" i="3"/>
  <c r="M161" i="3"/>
  <c r="N161" i="3"/>
  <c r="N168" i="3"/>
  <c r="M168" i="3"/>
  <c r="N125" i="3"/>
  <c r="R129" i="3"/>
  <c r="M125" i="3"/>
  <c r="N171" i="3"/>
  <c r="M171" i="3"/>
  <c r="N165" i="3"/>
  <c r="N106" i="3"/>
  <c r="M106" i="3"/>
  <c r="M123" i="3"/>
  <c r="S129" i="3"/>
  <c r="N123" i="3"/>
  <c r="M165" i="3"/>
  <c r="M164" i="3"/>
  <c r="N164" i="3"/>
  <c r="Q161" i="3"/>
  <c r="Q168" i="3"/>
  <c r="M177" i="3"/>
  <c r="Q123" i="3"/>
  <c r="M167" i="3"/>
  <c r="R123" i="3"/>
  <c r="M157" i="3"/>
  <c r="R168" i="3"/>
  <c r="N157" i="3"/>
  <c r="M118" i="3"/>
  <c r="M117" i="3"/>
  <c r="N118" i="3"/>
  <c r="N117" i="3"/>
  <c r="R160" i="3"/>
  <c r="Q160" i="3"/>
  <c r="N177" i="3"/>
  <c r="N167" i="3"/>
  <c r="T156" i="3"/>
  <c r="S156" i="3"/>
  <c r="R156" i="3"/>
  <c r="Q156" i="3"/>
  <c r="M176" i="3"/>
  <c r="N176" i="3"/>
  <c r="N116" i="3"/>
  <c r="M116" i="3"/>
  <c r="R161" i="3"/>
  <c r="M101" i="3"/>
  <c r="Q97" i="3"/>
  <c r="N101" i="3"/>
  <c r="R97" i="3"/>
  <c r="M166" i="3"/>
  <c r="J29" i="3"/>
  <c r="G132" i="3"/>
  <c r="Q106" i="3"/>
  <c r="Q177" i="3"/>
  <c r="R106" i="3"/>
  <c r="H102" i="3"/>
  <c r="J15" i="3"/>
  <c r="N166" i="3"/>
  <c r="R177" i="3"/>
  <c r="I37" i="3"/>
  <c r="I31" i="3"/>
  <c r="I30" i="3"/>
  <c r="I77" i="3"/>
  <c r="I75" i="3"/>
  <c r="I86" i="3"/>
  <c r="I15" i="3"/>
  <c r="C162" i="3"/>
  <c r="G102" i="3"/>
  <c r="J9" i="3"/>
  <c r="J31" i="3"/>
  <c r="J30" i="3"/>
  <c r="I22" i="3"/>
  <c r="D34" i="3"/>
  <c r="H132" i="3"/>
  <c r="C88" i="3"/>
  <c r="J32" i="3"/>
  <c r="J22" i="3"/>
  <c r="S177" i="3"/>
  <c r="T177" i="3"/>
  <c r="S164" i="3"/>
  <c r="T164" i="3"/>
  <c r="S165" i="3"/>
  <c r="T165" i="3"/>
  <c r="P157" i="3"/>
  <c r="O157" i="3"/>
  <c r="R166" i="3"/>
  <c r="Q166" i="3"/>
  <c r="Q128" i="3"/>
  <c r="R130" i="3"/>
  <c r="R128" i="3"/>
  <c r="Q130" i="3"/>
  <c r="O164" i="3"/>
  <c r="P164" i="3"/>
  <c r="O165" i="3"/>
  <c r="P165" i="3"/>
  <c r="M96" i="3"/>
  <c r="M95" i="3"/>
  <c r="M104" i="3"/>
  <c r="N95" i="3"/>
  <c r="M98" i="3"/>
  <c r="N104" i="3"/>
  <c r="N98" i="3"/>
  <c r="M99" i="3"/>
  <c r="N96" i="3"/>
  <c r="N99" i="3"/>
  <c r="N108" i="3"/>
  <c r="M108" i="3"/>
  <c r="K168" i="3"/>
  <c r="L168" i="3"/>
  <c r="I123" i="3"/>
  <c r="J123" i="3"/>
  <c r="J116" i="3"/>
  <c r="I116" i="3"/>
  <c r="P113" i="3"/>
  <c r="P114" i="3"/>
  <c r="O115" i="3"/>
  <c r="O111" i="3"/>
  <c r="O112" i="3"/>
  <c r="P115" i="3"/>
  <c r="O109" i="3"/>
  <c r="P111" i="3"/>
  <c r="P112" i="3"/>
  <c r="P109" i="3"/>
  <c r="O113" i="3"/>
  <c r="O114" i="3"/>
  <c r="O126" i="3"/>
  <c r="P126" i="3"/>
  <c r="K166" i="3"/>
  <c r="L166" i="3"/>
  <c r="L175" i="3"/>
  <c r="K175" i="3"/>
  <c r="J119" i="3"/>
  <c r="I119" i="3"/>
  <c r="I97" i="3"/>
  <c r="J97" i="3"/>
  <c r="J158" i="3"/>
  <c r="I158" i="3"/>
  <c r="I122" i="3"/>
  <c r="J122" i="3"/>
  <c r="H161" i="3"/>
  <c r="K161" i="3"/>
  <c r="L161" i="3"/>
  <c r="G161" i="3"/>
  <c r="I166" i="3"/>
  <c r="J166" i="3"/>
  <c r="G166" i="3"/>
  <c r="H166" i="3"/>
  <c r="L169" i="3"/>
  <c r="K169" i="3"/>
  <c r="I177" i="3"/>
  <c r="J177" i="3"/>
  <c r="J172" i="3"/>
  <c r="I172" i="3"/>
  <c r="S97" i="3"/>
  <c r="T97" i="3"/>
  <c r="Q165" i="3"/>
  <c r="R165" i="3"/>
  <c r="Q164" i="3"/>
  <c r="R164" i="3"/>
  <c r="R158" i="3"/>
  <c r="Q158" i="3"/>
  <c r="M175" i="3"/>
  <c r="N175" i="3"/>
  <c r="S95" i="3"/>
  <c r="S98" i="3"/>
  <c r="S99" i="3"/>
  <c r="T96" i="3"/>
  <c r="T99" i="3"/>
  <c r="T95" i="3"/>
  <c r="S104" i="3"/>
  <c r="S96" i="3"/>
  <c r="T98" i="3"/>
  <c r="T104" i="3"/>
  <c r="T125" i="3"/>
  <c r="T131" i="3" s="1"/>
  <c r="S125" i="3"/>
  <c r="O167" i="3"/>
  <c r="P167" i="3"/>
  <c r="R116" i="3"/>
  <c r="Q116" i="3"/>
  <c r="O130" i="3"/>
  <c r="O128" i="3"/>
  <c r="P130" i="3"/>
  <c r="P128" i="3"/>
  <c r="M97" i="3"/>
  <c r="N97" i="3"/>
  <c r="Q96" i="3"/>
  <c r="Q95" i="3"/>
  <c r="R95" i="3"/>
  <c r="Q104" i="3"/>
  <c r="Q98" i="3"/>
  <c r="R104" i="3"/>
  <c r="R96" i="3"/>
  <c r="R98" i="3"/>
  <c r="Q99" i="3"/>
  <c r="R99" i="3"/>
  <c r="O97" i="3"/>
  <c r="O107" i="3" s="1"/>
  <c r="P97" i="3"/>
  <c r="P107" i="3" s="1"/>
  <c r="M169" i="3"/>
  <c r="N169" i="3"/>
  <c r="N160" i="3"/>
  <c r="M160" i="3"/>
  <c r="N158" i="3"/>
  <c r="M158" i="3"/>
  <c r="I167" i="3"/>
  <c r="J167" i="3"/>
  <c r="K119" i="3"/>
  <c r="L119" i="3"/>
  <c r="I171" i="3"/>
  <c r="J171" i="3"/>
  <c r="M159" i="3"/>
  <c r="N159" i="3"/>
  <c r="L118" i="3"/>
  <c r="L117" i="3"/>
  <c r="K118" i="3"/>
  <c r="K117" i="3"/>
  <c r="J108" i="3"/>
  <c r="I108" i="3"/>
  <c r="J174" i="3"/>
  <c r="I174" i="3"/>
  <c r="G160" i="3"/>
  <c r="J160" i="3"/>
  <c r="I160" i="3"/>
  <c r="H160" i="3"/>
  <c r="K130" i="3"/>
  <c r="K128" i="3"/>
  <c r="L130" i="3"/>
  <c r="L128" i="3"/>
  <c r="K177" i="3"/>
  <c r="L177" i="3"/>
  <c r="I117" i="3"/>
  <c r="J117" i="3"/>
  <c r="I118" i="3"/>
  <c r="J118" i="3"/>
  <c r="S106" i="3"/>
  <c r="T106" i="3"/>
  <c r="T118" i="3"/>
  <c r="T117" i="3"/>
  <c r="S118" i="3"/>
  <c r="S117" i="3"/>
  <c r="T160" i="3"/>
  <c r="S160" i="3"/>
  <c r="S169" i="3"/>
  <c r="T169" i="3"/>
  <c r="Q171" i="3"/>
  <c r="R171" i="3"/>
  <c r="Q176" i="3"/>
  <c r="R176" i="3"/>
  <c r="R157" i="3"/>
  <c r="Q157" i="3"/>
  <c r="M109" i="3"/>
  <c r="N111" i="3"/>
  <c r="N112" i="3"/>
  <c r="N109" i="3"/>
  <c r="M113" i="3"/>
  <c r="M114" i="3"/>
  <c r="N113" i="3"/>
  <c r="N114" i="3"/>
  <c r="M115" i="3"/>
  <c r="M111" i="3"/>
  <c r="M112" i="3"/>
  <c r="N115" i="3"/>
  <c r="M126" i="3"/>
  <c r="N126" i="3"/>
  <c r="L110" i="3"/>
  <c r="L121" i="3"/>
  <c r="K120" i="3"/>
  <c r="K110" i="3"/>
  <c r="L120" i="3"/>
  <c r="K121" i="3"/>
  <c r="I168" i="3"/>
  <c r="J168" i="3"/>
  <c r="I125" i="3"/>
  <c r="J125" i="3"/>
  <c r="L160" i="3"/>
  <c r="K160" i="3"/>
  <c r="K105" i="3"/>
  <c r="L105" i="3"/>
  <c r="G105" i="3"/>
  <c r="H105" i="3"/>
  <c r="K106" i="3"/>
  <c r="L106" i="3"/>
  <c r="K97" i="3"/>
  <c r="L97" i="3"/>
  <c r="G116" i="3"/>
  <c r="H116" i="3"/>
  <c r="K116" i="3"/>
  <c r="L116" i="3"/>
  <c r="I159" i="3"/>
  <c r="J159" i="3"/>
  <c r="H159" i="3"/>
  <c r="K159" i="3"/>
  <c r="G159" i="3"/>
  <c r="L159" i="3"/>
  <c r="I175" i="3"/>
  <c r="G175" i="3"/>
  <c r="J175" i="3"/>
  <c r="H175" i="3"/>
  <c r="K103" i="3"/>
  <c r="L103" i="3"/>
  <c r="H174" i="3"/>
  <c r="K174" i="3"/>
  <c r="G174" i="3"/>
  <c r="L174" i="3"/>
  <c r="J94" i="3"/>
  <c r="I94" i="3"/>
  <c r="L101" i="3"/>
  <c r="K101" i="3"/>
  <c r="K164" i="3"/>
  <c r="L164" i="3"/>
  <c r="K165" i="3"/>
  <c r="L165" i="3"/>
  <c r="T94" i="3"/>
  <c r="S94" i="3"/>
  <c r="S123" i="3"/>
  <c r="T123" i="3"/>
  <c r="S168" i="3"/>
  <c r="T168" i="3"/>
  <c r="S161" i="3"/>
  <c r="T161" i="3"/>
  <c r="Q169" i="3"/>
  <c r="R169" i="3"/>
  <c r="O108" i="3"/>
  <c r="P108" i="3"/>
  <c r="Q117" i="3"/>
  <c r="R117" i="3"/>
  <c r="Q118" i="3"/>
  <c r="R118" i="3"/>
  <c r="R94" i="3"/>
  <c r="Q94" i="3"/>
  <c r="L125" i="3"/>
  <c r="K125" i="3"/>
  <c r="I101" i="3"/>
  <c r="J101" i="3"/>
  <c r="L158" i="3"/>
  <c r="K158" i="3"/>
  <c r="J156" i="3"/>
  <c r="I156" i="3"/>
  <c r="G156" i="3"/>
  <c r="K95" i="3"/>
  <c r="K98" i="3"/>
  <c r="K99" i="3"/>
  <c r="K96" i="3"/>
  <c r="L95" i="3"/>
  <c r="L98" i="3"/>
  <c r="L99" i="3"/>
  <c r="L96" i="3"/>
  <c r="K104" i="3"/>
  <c r="L104" i="3"/>
  <c r="H158" i="3"/>
  <c r="G158" i="3"/>
  <c r="Q159" i="3"/>
  <c r="R159" i="3"/>
  <c r="O159" i="3"/>
  <c r="P159" i="3"/>
  <c r="Q101" i="3"/>
  <c r="R101" i="3"/>
  <c r="L156" i="3"/>
  <c r="K156" i="3"/>
  <c r="J120" i="3"/>
  <c r="I110" i="3"/>
  <c r="G120" i="3"/>
  <c r="G121" i="3"/>
  <c r="I121" i="3"/>
  <c r="G110" i="3"/>
  <c r="J110" i="3"/>
  <c r="H110" i="3"/>
  <c r="I120" i="3"/>
  <c r="J121" i="3"/>
  <c r="H120" i="3"/>
  <c r="H121" i="3"/>
  <c r="L176" i="3"/>
  <c r="I129" i="3"/>
  <c r="J129" i="3"/>
  <c r="N156" i="3"/>
  <c r="M156" i="3"/>
  <c r="L122" i="3"/>
  <c r="K122" i="3"/>
  <c r="M128" i="3"/>
  <c r="N130" i="3"/>
  <c r="N128" i="3"/>
  <c r="M130" i="3"/>
  <c r="J157" i="3"/>
  <c r="I157" i="3"/>
  <c r="G108" i="3"/>
  <c r="K108" i="3"/>
  <c r="L108" i="3"/>
  <c r="I161" i="3"/>
  <c r="J161" i="3"/>
  <c r="L157" i="3"/>
  <c r="H157" i="3"/>
  <c r="K157" i="3"/>
  <c r="G157" i="3"/>
  <c r="I128" i="3"/>
  <c r="J130" i="3"/>
  <c r="J128" i="3"/>
  <c r="I130" i="3"/>
  <c r="L113" i="3"/>
  <c r="L114" i="3"/>
  <c r="K115" i="3"/>
  <c r="K111" i="3"/>
  <c r="K112" i="3"/>
  <c r="L115" i="3"/>
  <c r="K109" i="3"/>
  <c r="L111" i="3"/>
  <c r="L112" i="3"/>
  <c r="L109" i="3"/>
  <c r="K113" i="3"/>
  <c r="K114" i="3"/>
  <c r="K126" i="3"/>
  <c r="L126" i="3"/>
  <c r="I165" i="3"/>
  <c r="J165" i="3"/>
  <c r="I164" i="3"/>
  <c r="J164" i="3"/>
  <c r="K167" i="3"/>
  <c r="L94" i="3"/>
  <c r="G94" i="3"/>
  <c r="K94" i="3"/>
  <c r="H94" i="3"/>
  <c r="I109" i="3"/>
  <c r="J111" i="3"/>
  <c r="J112" i="3"/>
  <c r="J109" i="3"/>
  <c r="I113" i="3"/>
  <c r="I114" i="3"/>
  <c r="J113" i="3"/>
  <c r="J114" i="3"/>
  <c r="I115" i="3"/>
  <c r="I111" i="3"/>
  <c r="I112" i="3"/>
  <c r="J115" i="3"/>
  <c r="I126" i="3"/>
  <c r="J126" i="3"/>
  <c r="L171" i="3"/>
  <c r="I106" i="3"/>
  <c r="J106" i="3"/>
  <c r="I169" i="3"/>
  <c r="I96" i="3"/>
  <c r="I95" i="3"/>
  <c r="J99" i="3"/>
  <c r="I104" i="3"/>
  <c r="J96" i="3"/>
  <c r="J104" i="3"/>
  <c r="I98" i="3"/>
  <c r="J95" i="3"/>
  <c r="J98" i="3"/>
  <c r="I99" i="3"/>
  <c r="L129" i="3"/>
  <c r="K129" i="3"/>
  <c r="J103" i="3"/>
  <c r="I103" i="3"/>
  <c r="I176" i="3"/>
  <c r="K172" i="3"/>
  <c r="J169" i="3"/>
  <c r="K176" i="3"/>
  <c r="J176" i="3"/>
  <c r="L172" i="3"/>
  <c r="K171" i="3"/>
  <c r="L167" i="3"/>
  <c r="J86" i="3"/>
  <c r="J75" i="3"/>
  <c r="D88" i="3"/>
  <c r="C71" i="3"/>
  <c r="I32" i="3"/>
  <c r="C34" i="3"/>
  <c r="I29" i="3"/>
  <c r="C17" i="3"/>
  <c r="I9" i="3"/>
  <c r="D17" i="3"/>
  <c r="J77" i="3"/>
  <c r="C41" i="3"/>
  <c r="D41" i="3"/>
  <c r="J37" i="3"/>
  <c r="D162" i="3"/>
  <c r="C72" i="3" l="1"/>
  <c r="C89" i="3" s="1"/>
  <c r="J16" i="3"/>
  <c r="J24" i="3"/>
  <c r="J33" i="3"/>
  <c r="I16" i="3"/>
  <c r="I33" i="3"/>
  <c r="J78" i="3"/>
  <c r="I78" i="3"/>
  <c r="E71" i="3"/>
  <c r="G128" i="3"/>
  <c r="J18" i="3"/>
  <c r="H168" i="3"/>
  <c r="I20" i="3"/>
  <c r="I5" i="3"/>
  <c r="S131" i="3"/>
  <c r="J19" i="3"/>
  <c r="I24" i="3"/>
  <c r="I21" i="3"/>
  <c r="I23" i="3"/>
  <c r="I19" i="3"/>
  <c r="J73" i="3"/>
  <c r="G176" i="3"/>
  <c r="G172" i="3"/>
  <c r="J28" i="3"/>
  <c r="J21" i="3"/>
  <c r="J35" i="3"/>
  <c r="I35" i="3"/>
  <c r="G130" i="3"/>
  <c r="P162" i="3"/>
  <c r="G168" i="3"/>
  <c r="I73" i="3"/>
  <c r="I28" i="3"/>
  <c r="J65" i="3"/>
  <c r="I68" i="3"/>
  <c r="J69" i="3"/>
  <c r="J12" i="3"/>
  <c r="I84" i="3"/>
  <c r="I27" i="3"/>
  <c r="I69" i="3"/>
  <c r="I65" i="3"/>
  <c r="J68" i="3"/>
  <c r="I70" i="3"/>
  <c r="J27" i="3"/>
  <c r="H130" i="3"/>
  <c r="H172" i="3"/>
  <c r="O162" i="3"/>
  <c r="I11" i="3"/>
  <c r="N178" i="3"/>
  <c r="T178" i="3"/>
  <c r="J11" i="3"/>
  <c r="J84" i="3"/>
  <c r="F71" i="3"/>
  <c r="J70" i="3"/>
  <c r="J5" i="3"/>
  <c r="I10" i="3"/>
  <c r="I36" i="3"/>
  <c r="O131" i="3"/>
  <c r="I18" i="3"/>
  <c r="I74" i="3"/>
  <c r="T162" i="3"/>
  <c r="O178" i="3"/>
  <c r="C196" i="3"/>
  <c r="D71" i="3"/>
  <c r="T124" i="3"/>
  <c r="Q178" i="3"/>
  <c r="I6" i="3"/>
  <c r="H71" i="3"/>
  <c r="I13" i="3"/>
  <c r="J13" i="3"/>
  <c r="J40" i="3"/>
  <c r="L107" i="3"/>
  <c r="G71" i="3"/>
  <c r="Q124" i="3"/>
  <c r="Q162" i="3"/>
  <c r="D196" i="3"/>
  <c r="Q107" i="3"/>
  <c r="I8" i="3"/>
  <c r="H17" i="3"/>
  <c r="I66" i="3"/>
  <c r="H88" i="3"/>
  <c r="J10" i="3"/>
  <c r="L162" i="3"/>
  <c r="N124" i="3"/>
  <c r="H41" i="3"/>
  <c r="G34" i="3"/>
  <c r="S107" i="3"/>
  <c r="P131" i="3"/>
  <c r="P124" i="3"/>
  <c r="O124" i="3"/>
  <c r="M107" i="3"/>
  <c r="P178" i="3"/>
  <c r="S178" i="3"/>
  <c r="M162" i="3"/>
  <c r="E88" i="3"/>
  <c r="E17" i="3"/>
  <c r="E34" i="3"/>
  <c r="G106" i="3"/>
  <c r="K107" i="3"/>
  <c r="H128" i="3"/>
  <c r="N162" i="3"/>
  <c r="M178" i="3"/>
  <c r="G162" i="3"/>
  <c r="L131" i="3"/>
  <c r="H176" i="3"/>
  <c r="I67" i="3"/>
  <c r="T107" i="3"/>
  <c r="I81" i="3"/>
  <c r="L178" i="3"/>
  <c r="E41" i="3"/>
  <c r="I87" i="3"/>
  <c r="J74" i="3"/>
  <c r="J8" i="3"/>
  <c r="J66" i="3"/>
  <c r="J7" i="3"/>
  <c r="I7" i="3"/>
  <c r="Q131" i="3"/>
  <c r="J6" i="3"/>
  <c r="F41" i="3"/>
  <c r="J4" i="3"/>
  <c r="J36" i="3"/>
  <c r="F88" i="3"/>
  <c r="F34" i="3"/>
  <c r="J25" i="3"/>
  <c r="F17" i="3"/>
  <c r="H98" i="3"/>
  <c r="G99" i="3"/>
  <c r="C178" i="3"/>
  <c r="H99" i="3"/>
  <c r="G96" i="3"/>
  <c r="G165" i="3"/>
  <c r="R203" i="3"/>
  <c r="I79" i="3"/>
  <c r="R131" i="3"/>
  <c r="L124" i="3"/>
  <c r="M131" i="3"/>
  <c r="E178" i="3"/>
  <c r="D178" i="3"/>
  <c r="D131" i="3"/>
  <c r="D124" i="3"/>
  <c r="G167" i="3"/>
  <c r="G126" i="3"/>
  <c r="H109" i="3"/>
  <c r="G112" i="3"/>
  <c r="K162" i="3"/>
  <c r="J87" i="3"/>
  <c r="F107" i="3"/>
  <c r="H115" i="3"/>
  <c r="H111" i="3"/>
  <c r="I85" i="3"/>
  <c r="Q206" i="3"/>
  <c r="D107" i="3"/>
  <c r="G104" i="3"/>
  <c r="H95" i="3"/>
  <c r="I162" i="3"/>
  <c r="T201" i="3"/>
  <c r="S202" i="3"/>
  <c r="T202" i="3"/>
  <c r="S203" i="3"/>
  <c r="T206" i="3"/>
  <c r="S207" i="3"/>
  <c r="S208" i="3"/>
  <c r="T212" i="3"/>
  <c r="T213" i="3"/>
  <c r="S201" i="3"/>
  <c r="S204" i="3"/>
  <c r="T209" i="3"/>
  <c r="S210" i="3"/>
  <c r="S211" i="3"/>
  <c r="T203" i="3"/>
  <c r="T207" i="3"/>
  <c r="T208" i="3"/>
  <c r="S209" i="3"/>
  <c r="T204" i="3"/>
  <c r="S205" i="3"/>
  <c r="T210" i="3"/>
  <c r="T211" i="3"/>
  <c r="S212" i="3"/>
  <c r="S213" i="3"/>
  <c r="T205" i="3"/>
  <c r="S206" i="3"/>
  <c r="H101" i="3"/>
  <c r="I107" i="3"/>
  <c r="J131" i="3"/>
  <c r="R202" i="3"/>
  <c r="H117" i="3"/>
  <c r="G117" i="3"/>
  <c r="H165" i="3"/>
  <c r="G177" i="3"/>
  <c r="I124" i="3"/>
  <c r="H129" i="3"/>
  <c r="G171" i="3"/>
  <c r="J26" i="3"/>
  <c r="I26" i="3"/>
  <c r="Q201" i="3"/>
  <c r="H103" i="3"/>
  <c r="E162" i="3"/>
  <c r="H122" i="3"/>
  <c r="H97" i="3"/>
  <c r="K178" i="3"/>
  <c r="R209" i="3"/>
  <c r="Q204" i="3"/>
  <c r="C124" i="3"/>
  <c r="G115" i="3"/>
  <c r="G111" i="3"/>
  <c r="H112" i="3"/>
  <c r="I131" i="3"/>
  <c r="N203" i="3"/>
  <c r="M204" i="3"/>
  <c r="N202" i="3"/>
  <c r="M203" i="3"/>
  <c r="M205" i="3"/>
  <c r="N209" i="3"/>
  <c r="M210" i="3"/>
  <c r="M211" i="3"/>
  <c r="M201" i="3"/>
  <c r="N210" i="3"/>
  <c r="N211" i="3"/>
  <c r="M212" i="3"/>
  <c r="M213" i="3"/>
  <c r="N207" i="3"/>
  <c r="N208" i="3"/>
  <c r="M209" i="3"/>
  <c r="N201" i="3"/>
  <c r="N204" i="3"/>
  <c r="N205" i="3"/>
  <c r="M206" i="3"/>
  <c r="N212" i="3"/>
  <c r="N213" i="3"/>
  <c r="M202" i="3"/>
  <c r="N206" i="3"/>
  <c r="M207" i="3"/>
  <c r="M208" i="3"/>
  <c r="J85" i="3"/>
  <c r="R212" i="3"/>
  <c r="H104" i="3"/>
  <c r="H156" i="3"/>
  <c r="H162" i="3" s="1"/>
  <c r="F162" i="3"/>
  <c r="K131" i="3"/>
  <c r="G123" i="3"/>
  <c r="I178" i="3"/>
  <c r="H106" i="3"/>
  <c r="S124" i="3"/>
  <c r="R206" i="3"/>
  <c r="H118" i="3"/>
  <c r="H164" i="3"/>
  <c r="F178" i="3"/>
  <c r="G129" i="3"/>
  <c r="J20" i="3"/>
  <c r="H34" i="3"/>
  <c r="I25" i="3"/>
  <c r="I76" i="3"/>
  <c r="Q203" i="3"/>
  <c r="Q209" i="3"/>
  <c r="G103" i="3"/>
  <c r="J124" i="3"/>
  <c r="G97" i="3"/>
  <c r="G119" i="3"/>
  <c r="P201" i="3"/>
  <c r="O202" i="3"/>
  <c r="O201" i="3"/>
  <c r="P206" i="3"/>
  <c r="O207" i="3"/>
  <c r="O208" i="3"/>
  <c r="P212" i="3"/>
  <c r="P213" i="3"/>
  <c r="O203" i="3"/>
  <c r="P207" i="3"/>
  <c r="P208" i="3"/>
  <c r="O209" i="3"/>
  <c r="P202" i="3"/>
  <c r="P204" i="3"/>
  <c r="P205" i="3"/>
  <c r="O206" i="3"/>
  <c r="P203" i="3"/>
  <c r="P209" i="3"/>
  <c r="O210" i="3"/>
  <c r="O211" i="3"/>
  <c r="O204" i="3"/>
  <c r="O205" i="3"/>
  <c r="P210" i="3"/>
  <c r="P211" i="3"/>
  <c r="O212" i="3"/>
  <c r="O213" i="3"/>
  <c r="N107" i="3"/>
  <c r="G125" i="3"/>
  <c r="E131" i="3"/>
  <c r="C131" i="3"/>
  <c r="J107" i="3"/>
  <c r="G113" i="3"/>
  <c r="G109" i="3"/>
  <c r="Q202" i="3"/>
  <c r="R213" i="3"/>
  <c r="C107" i="3"/>
  <c r="G98" i="3"/>
  <c r="G95" i="3"/>
  <c r="J162" i="3"/>
  <c r="R201" i="3"/>
  <c r="R210" i="3"/>
  <c r="R211" i="3"/>
  <c r="Q212" i="3"/>
  <c r="Q213" i="3"/>
  <c r="I4" i="3"/>
  <c r="G17" i="3"/>
  <c r="H123" i="3"/>
  <c r="G101" i="3"/>
  <c r="N131" i="3"/>
  <c r="J81" i="3"/>
  <c r="Q207" i="3"/>
  <c r="G118" i="3"/>
  <c r="H177" i="3"/>
  <c r="I39" i="3"/>
  <c r="J39" i="3"/>
  <c r="G88" i="3"/>
  <c r="R207" i="3"/>
  <c r="G169" i="3"/>
  <c r="Q211" i="3"/>
  <c r="Q205" i="3"/>
  <c r="E124" i="3"/>
  <c r="J178" i="3"/>
  <c r="L201" i="3"/>
  <c r="K202" i="3"/>
  <c r="L204" i="3"/>
  <c r="L206" i="3"/>
  <c r="K207" i="3"/>
  <c r="K208" i="3"/>
  <c r="L212" i="3"/>
  <c r="L213" i="3"/>
  <c r="K204" i="3"/>
  <c r="L205" i="3"/>
  <c r="K206" i="3"/>
  <c r="K201" i="3"/>
  <c r="L203" i="3"/>
  <c r="K205" i="3"/>
  <c r="L210" i="3"/>
  <c r="L211" i="3"/>
  <c r="K212" i="3"/>
  <c r="K213" i="3"/>
  <c r="L202" i="3"/>
  <c r="L207" i="3"/>
  <c r="L208" i="3"/>
  <c r="K209" i="3"/>
  <c r="K203" i="3"/>
  <c r="L209" i="3"/>
  <c r="K210" i="3"/>
  <c r="K211" i="3"/>
  <c r="H125" i="3"/>
  <c r="F131" i="3"/>
  <c r="H167" i="3"/>
  <c r="G114" i="3"/>
  <c r="H113" i="3"/>
  <c r="H126" i="3"/>
  <c r="H114" i="3"/>
  <c r="H108" i="3"/>
  <c r="F124" i="3"/>
  <c r="I40" i="3"/>
  <c r="J67" i="3"/>
  <c r="R205" i="3"/>
  <c r="J203" i="3"/>
  <c r="I204" i="3"/>
  <c r="J201" i="3"/>
  <c r="I202" i="3"/>
  <c r="I205" i="3"/>
  <c r="J209" i="3"/>
  <c r="I210" i="3"/>
  <c r="I211" i="3"/>
  <c r="J202" i="3"/>
  <c r="J207" i="3"/>
  <c r="J208" i="3"/>
  <c r="I209" i="3"/>
  <c r="J204" i="3"/>
  <c r="J206" i="3"/>
  <c r="I207" i="3"/>
  <c r="I208" i="3"/>
  <c r="I203" i="3"/>
  <c r="J210" i="3"/>
  <c r="J211" i="3"/>
  <c r="I212" i="3"/>
  <c r="I213" i="3"/>
  <c r="I201" i="3"/>
  <c r="J205" i="3"/>
  <c r="I206" i="3"/>
  <c r="J212" i="3"/>
  <c r="J213" i="3"/>
  <c r="H96" i="3"/>
  <c r="E107" i="3"/>
  <c r="K124" i="3"/>
  <c r="J79" i="3"/>
  <c r="R162" i="3"/>
  <c r="S162" i="3"/>
  <c r="Q208" i="3"/>
  <c r="G164" i="3"/>
  <c r="H171" i="3"/>
  <c r="J23" i="3"/>
  <c r="G41" i="3"/>
  <c r="J76" i="3"/>
  <c r="R107" i="3"/>
  <c r="R124" i="3"/>
  <c r="R178" i="3"/>
  <c r="R208" i="3"/>
  <c r="H169" i="3"/>
  <c r="G122" i="3"/>
  <c r="H119" i="3"/>
  <c r="M124" i="3"/>
  <c r="Q210" i="3"/>
  <c r="R204" i="3"/>
  <c r="G72" i="3" l="1"/>
  <c r="G89" i="3" s="1"/>
  <c r="F163" i="3"/>
  <c r="F179" i="3" s="1"/>
  <c r="D72" i="3"/>
  <c r="D89" i="3" s="1"/>
  <c r="T163" i="3"/>
  <c r="T179" i="3" s="1"/>
  <c r="P163" i="3"/>
  <c r="P179" i="3" s="1"/>
  <c r="F72" i="3"/>
  <c r="F89" i="3" s="1"/>
  <c r="E72" i="3"/>
  <c r="E89" i="3" s="1"/>
  <c r="Q163" i="3"/>
  <c r="Q179" i="3" s="1"/>
  <c r="H72" i="3"/>
  <c r="H89" i="3" s="1"/>
  <c r="K163" i="3"/>
  <c r="K179" i="3" s="1"/>
  <c r="N163" i="3"/>
  <c r="N179" i="3" s="1"/>
  <c r="S163" i="3"/>
  <c r="S179" i="3" s="1"/>
  <c r="I163" i="3"/>
  <c r="I179" i="3" s="1"/>
  <c r="J163" i="3"/>
  <c r="J179" i="3" s="1"/>
  <c r="D163" i="3"/>
  <c r="D179" i="3" s="1"/>
  <c r="C163" i="3"/>
  <c r="C179" i="3" s="1"/>
  <c r="E163" i="3"/>
  <c r="E179" i="3" s="1"/>
  <c r="M163" i="3"/>
  <c r="M179" i="3" s="1"/>
  <c r="L163" i="3"/>
  <c r="L179" i="3" s="1"/>
  <c r="O163" i="3"/>
  <c r="O179" i="3" s="1"/>
  <c r="R163" i="3"/>
  <c r="R179" i="3" s="1"/>
  <c r="J34" i="3"/>
  <c r="G208" i="3"/>
  <c r="J191" i="3"/>
  <c r="G213" i="3"/>
  <c r="J41" i="3"/>
  <c r="G211" i="3"/>
  <c r="G178" i="3"/>
  <c r="G209" i="3"/>
  <c r="I191" i="3"/>
  <c r="I17" i="3"/>
  <c r="J71" i="3"/>
  <c r="J187" i="3"/>
  <c r="I71" i="3"/>
  <c r="I88" i="3"/>
  <c r="I194" i="3"/>
  <c r="I34" i="3"/>
  <c r="J17" i="3"/>
  <c r="J194" i="3"/>
  <c r="J186" i="3"/>
  <c r="I192" i="3"/>
  <c r="I187" i="3"/>
  <c r="J88" i="3"/>
  <c r="J195" i="3"/>
  <c r="I188" i="3"/>
  <c r="J188" i="3"/>
  <c r="G107" i="3"/>
  <c r="G131" i="3"/>
  <c r="I186" i="3"/>
  <c r="J190" i="3"/>
  <c r="I41" i="3"/>
  <c r="J214" i="3"/>
  <c r="J184" i="3"/>
  <c r="H196" i="3"/>
  <c r="J193" i="3"/>
  <c r="E214" i="3"/>
  <c r="G207" i="3"/>
  <c r="G212" i="3"/>
  <c r="G205" i="3"/>
  <c r="G206" i="3"/>
  <c r="H213" i="3"/>
  <c r="H204" i="3"/>
  <c r="Q214" i="3"/>
  <c r="O214" i="3"/>
  <c r="P214" i="3"/>
  <c r="H178" i="3"/>
  <c r="H107" i="3"/>
  <c r="C214" i="3"/>
  <c r="D214" i="3"/>
  <c r="I195" i="3"/>
  <c r="I190" i="3"/>
  <c r="E196" i="3"/>
  <c r="I184" i="3"/>
  <c r="J192" i="3"/>
  <c r="J189" i="3"/>
  <c r="I185" i="3"/>
  <c r="H131" i="3"/>
  <c r="L214" i="3"/>
  <c r="H206" i="3"/>
  <c r="H205" i="3"/>
  <c r="G203" i="3"/>
  <c r="G124" i="3"/>
  <c r="N214" i="3"/>
  <c r="I189" i="3"/>
  <c r="F196" i="3"/>
  <c r="H124" i="3"/>
  <c r="H208" i="3"/>
  <c r="G204" i="3"/>
  <c r="H210" i="3"/>
  <c r="H212" i="3"/>
  <c r="H203" i="3"/>
  <c r="H202" i="3"/>
  <c r="M214" i="3"/>
  <c r="S214" i="3"/>
  <c r="T214" i="3"/>
  <c r="I214" i="3"/>
  <c r="I193" i="3"/>
  <c r="J185" i="3"/>
  <c r="G196" i="3"/>
  <c r="K214" i="3"/>
  <c r="G210" i="3"/>
  <c r="G202" i="3"/>
  <c r="H201" i="3"/>
  <c r="F214" i="3"/>
  <c r="H209" i="3"/>
  <c r="H211" i="3"/>
  <c r="G201" i="3"/>
  <c r="H207" i="3"/>
  <c r="R214" i="3"/>
  <c r="J72" i="3" l="1"/>
  <c r="J89" i="3" s="1"/>
  <c r="I72" i="3"/>
  <c r="I89" i="3" s="1"/>
  <c r="G163" i="3"/>
  <c r="G179" i="3" s="1"/>
  <c r="H163" i="3"/>
  <c r="H179" i="3" s="1"/>
  <c r="I196" i="3"/>
  <c r="G214" i="3"/>
  <c r="J196" i="3"/>
  <c r="H214" i="3"/>
  <c r="L41" i="3" l="1"/>
  <c r="K196" i="3"/>
  <c r="L88" i="3"/>
  <c r="K71" i="3"/>
  <c r="L196" i="3"/>
  <c r="K17" i="3"/>
  <c r="K88" i="3"/>
  <c r="L17" i="3"/>
  <c r="L71" i="3"/>
  <c r="K72" i="3" l="1"/>
  <c r="K89" i="3" s="1"/>
  <c r="L72" i="3"/>
  <c r="L89" i="3" s="1"/>
</calcChain>
</file>

<file path=xl/sharedStrings.xml><?xml version="1.0" encoding="utf-8"?>
<sst xmlns="http://schemas.openxmlformats.org/spreadsheetml/2006/main" count="3204" uniqueCount="669">
  <si>
    <t>Visit Pending</t>
  </si>
  <si>
    <t>Chomu</t>
  </si>
  <si>
    <t>Bikaner</t>
  </si>
  <si>
    <t>Bhilwara</t>
  </si>
  <si>
    <t>Govindpura</t>
  </si>
  <si>
    <t>Jhunjhunu</t>
  </si>
  <si>
    <t>Taranagar</t>
  </si>
  <si>
    <t>WIP- Credit</t>
  </si>
  <si>
    <t>Sanganer</t>
  </si>
  <si>
    <t>Sri Ganganagar</t>
  </si>
  <si>
    <t>Ratlam</t>
  </si>
  <si>
    <t>Neem Ka Thana</t>
  </si>
  <si>
    <t>Jobner</t>
  </si>
  <si>
    <t>Indore</t>
  </si>
  <si>
    <t>Nagda</t>
  </si>
  <si>
    <t>Darshan Kumar Bairwa</t>
  </si>
  <si>
    <t>Rahul Gogle</t>
  </si>
  <si>
    <t>Khandwa</t>
  </si>
  <si>
    <t>Mandsaur</t>
  </si>
  <si>
    <t>Shri Dungargarh</t>
  </si>
  <si>
    <t>Bagru</t>
  </si>
  <si>
    <t>Query- Sales</t>
  </si>
  <si>
    <t>Mahendra Patel</t>
  </si>
  <si>
    <t>Dhar</t>
  </si>
  <si>
    <t>Chirawa</t>
  </si>
  <si>
    <t>SURATGARH</t>
  </si>
  <si>
    <t>Negative FI/Profile/Area</t>
  </si>
  <si>
    <t>Reject</t>
  </si>
  <si>
    <t>Sandeep Thakur</t>
  </si>
  <si>
    <t>Ujjain</t>
  </si>
  <si>
    <t>DHAMNOD</t>
  </si>
  <si>
    <t>Rishabh Bohra</t>
  </si>
  <si>
    <t>Nirmal Patidar</t>
  </si>
  <si>
    <t>Nokha</t>
  </si>
  <si>
    <t>Sanjay Arya</t>
  </si>
  <si>
    <t>Pritam Kumar</t>
  </si>
  <si>
    <t>Nohar</t>
  </si>
  <si>
    <t>Vaibhav Dangi</t>
  </si>
  <si>
    <t>chittorgarh</t>
  </si>
  <si>
    <t>Keval Singh</t>
  </si>
  <si>
    <t>Vijay Kumar</t>
  </si>
  <si>
    <t>Anupgarh</t>
  </si>
  <si>
    <t>Jhabar Mal Yadav</t>
  </si>
  <si>
    <t>Shahpura</t>
  </si>
  <si>
    <t>Narendra Gurjar</t>
  </si>
  <si>
    <t>Recommend</t>
  </si>
  <si>
    <t>Sanawad</t>
  </si>
  <si>
    <t>Anand Tailor</t>
  </si>
  <si>
    <t>Sandeep Singh</t>
  </si>
  <si>
    <t>Saurabh Sahu</t>
  </si>
  <si>
    <t>Sumerpur</t>
  </si>
  <si>
    <t>Sanction</t>
  </si>
  <si>
    <t>Sanjay Joshi</t>
  </si>
  <si>
    <t>Surendra Singh</t>
  </si>
  <si>
    <t>Ankit Jain</t>
  </si>
  <si>
    <t>Documents Incomplete</t>
  </si>
  <si>
    <t>Reengus</t>
  </si>
  <si>
    <t>Sadulpur</t>
  </si>
  <si>
    <t>Devi Lal Yadav</t>
  </si>
  <si>
    <t>Laxmangarh</t>
  </si>
  <si>
    <t>Jaipur</t>
  </si>
  <si>
    <t>Amit Kumar</t>
  </si>
  <si>
    <t>CIBIL Default</t>
  </si>
  <si>
    <t>Hanumangarh</t>
  </si>
  <si>
    <t>Inadequate/Imperfect Collateral</t>
  </si>
  <si>
    <t>Pradeep kumar Rohlan</t>
  </si>
  <si>
    <t>Agar Malwa</t>
  </si>
  <si>
    <t>Raisingh Nagar</t>
  </si>
  <si>
    <t>Kotputli</t>
  </si>
  <si>
    <t>Kolayat</t>
  </si>
  <si>
    <t>Ajay Gupta</t>
  </si>
  <si>
    <t>Pali</t>
  </si>
  <si>
    <t>Beawar</t>
  </si>
  <si>
    <t>ANIL</t>
  </si>
  <si>
    <t>Rahul Samariya</t>
  </si>
  <si>
    <t>Sardarshahar</t>
  </si>
  <si>
    <t>Bassi</t>
  </si>
  <si>
    <t>Disbursed</t>
  </si>
  <si>
    <t>Mohan Shankar Sharma</t>
  </si>
  <si>
    <t>Chaksu</t>
  </si>
  <si>
    <t>Ravi Sankhi</t>
  </si>
  <si>
    <t>Thanagazi</t>
  </si>
  <si>
    <t>Bijainagar</t>
  </si>
  <si>
    <t>Dewas</t>
  </si>
  <si>
    <t>Manoj Chauhan</t>
  </si>
  <si>
    <t>Any Specific Remarks</t>
  </si>
  <si>
    <t>Login to Disb. TAT</t>
  </si>
  <si>
    <t>Login to Sanction TAT</t>
  </si>
  <si>
    <t>Login to PD TAT</t>
  </si>
  <si>
    <t>Remarks</t>
  </si>
  <si>
    <t>Reject Reason</t>
  </si>
  <si>
    <t>Disb. Date</t>
  </si>
  <si>
    <t>Legal Received Date</t>
  </si>
  <si>
    <t>Legal Initiation Date</t>
  </si>
  <si>
    <t>Valuation Received Date</t>
  </si>
  <si>
    <t>Sanction Letter Month</t>
  </si>
  <si>
    <t>Sanction Letter Date</t>
  </si>
  <si>
    <t>Sanction Amount</t>
  </si>
  <si>
    <t>Decision date</t>
  </si>
  <si>
    <t>Request Amount</t>
  </si>
  <si>
    <t>Initial File Status (Credit)</t>
  </si>
  <si>
    <t>Doc Pending</t>
  </si>
  <si>
    <t>PD Date</t>
  </si>
  <si>
    <t>PD STATUS</t>
  </si>
  <si>
    <t>Visit Official Name
(Credit Part)</t>
  </si>
  <si>
    <t>CCM</t>
  </si>
  <si>
    <t>SH</t>
  </si>
  <si>
    <t>CBM Code</t>
  </si>
  <si>
    <t>CBM</t>
  </si>
  <si>
    <t>BM Code</t>
  </si>
  <si>
    <t>BM Name</t>
  </si>
  <si>
    <t>RO Name</t>
  </si>
  <si>
    <t>RO Code</t>
  </si>
  <si>
    <t>Branches</t>
  </si>
  <si>
    <t>MONTH</t>
  </si>
  <si>
    <t>Login Date</t>
  </si>
  <si>
    <t>Lead ID (Synofin)</t>
  </si>
  <si>
    <t>Grand Total</t>
  </si>
  <si>
    <t>Sunil Bagoria</t>
  </si>
  <si>
    <t>Shailesh Agarwal</t>
  </si>
  <si>
    <t>File Stage</t>
  </si>
  <si>
    <t>Count of MONTH</t>
  </si>
  <si>
    <t>STAGE WISE STATUS</t>
  </si>
  <si>
    <t>Total</t>
  </si>
  <si>
    <t>-</t>
  </si>
  <si>
    <t>Gurdeep Singh</t>
  </si>
  <si>
    <t>Ankur Khole</t>
  </si>
  <si>
    <t>Bharat Singh Kuntal</t>
  </si>
  <si>
    <t>TBI (Ratlam)</t>
  </si>
  <si>
    <t>Santosh Kumar</t>
  </si>
  <si>
    <t>Vijay Yadav</t>
  </si>
  <si>
    <t>Gajanand Purohit</t>
  </si>
  <si>
    <t>Saurabh Sharma</t>
  </si>
  <si>
    <t>Kamlesh Sharma</t>
  </si>
  <si>
    <t>Jaipur HO</t>
  </si>
  <si>
    <t>Deepak Sharma</t>
  </si>
  <si>
    <t xml:space="preserve"> Val (In Lacs) </t>
  </si>
  <si>
    <t xml:space="preserve"> No </t>
  </si>
  <si>
    <t xml:space="preserve">No </t>
  </si>
  <si>
    <t>CBM Wise</t>
  </si>
  <si>
    <t xml:space="preserve"> Recommend </t>
  </si>
  <si>
    <t xml:space="preserve"> Reject / Withdraw </t>
  </si>
  <si>
    <t> Sanction+Disbursed</t>
  </si>
  <si>
    <t xml:space="preserve"> Total File </t>
  </si>
  <si>
    <t xml:space="preserve"> Fresh Login (nos) </t>
  </si>
  <si>
    <t>Spill File</t>
  </si>
  <si>
    <t>MTD</t>
  </si>
  <si>
    <t> Decision(sanction + Reject)</t>
  </si>
  <si>
    <t xml:space="preserve"> Sanction </t>
  </si>
  <si>
    <t xml:space="preserve"> Login </t>
  </si>
  <si>
    <t>FTD</t>
  </si>
  <si>
    <t>Total LAP-RJ/MP</t>
  </si>
  <si>
    <t>(Manoj Chauhan )Praveen Kothari (LAP-MP)</t>
  </si>
  <si>
    <t>Devendra Chouhan</t>
  </si>
  <si>
    <t>Dhamnod</t>
  </si>
  <si>
    <t>Girish Jadav</t>
  </si>
  <si>
    <t>Nitesh</t>
  </si>
  <si>
    <t>Ramprasad Barothiya</t>
  </si>
  <si>
    <t>Praveen Shukla</t>
  </si>
  <si>
    <t>Shyam Soni</t>
  </si>
  <si>
    <t>Rajesh Varma</t>
  </si>
  <si>
    <t>Sawan Parmar</t>
  </si>
  <si>
    <t>Anil Solanki</t>
  </si>
  <si>
    <t>Arjun Ekle</t>
  </si>
  <si>
    <t>Praveen Kothari (LAP-RJ)</t>
  </si>
  <si>
    <t>Suratgarh</t>
  </si>
  <si>
    <t>Bhagirath</t>
  </si>
  <si>
    <t>Tarun Kumar</t>
  </si>
  <si>
    <t>Ramchander</t>
  </si>
  <si>
    <t>Lovepreet Singh</t>
  </si>
  <si>
    <t>Ram Pratap Rathi</t>
  </si>
  <si>
    <t>Tarsem Singh</t>
  </si>
  <si>
    <t>Babu Lal</t>
  </si>
  <si>
    <t>Vikash kumar</t>
  </si>
  <si>
    <t>Narendra Singh</t>
  </si>
  <si>
    <t>Shrimadhopur</t>
  </si>
  <si>
    <t>Sandeep Kumar Jat</t>
  </si>
  <si>
    <t>Anil Kumar</t>
  </si>
  <si>
    <t>Ratangarh</t>
  </si>
  <si>
    <t>Nemichand Nain</t>
  </si>
  <si>
    <t>Deependra Kumar Swami</t>
  </si>
  <si>
    <t>Prakash Bagri</t>
  </si>
  <si>
    <t>Chittorgarh</t>
  </si>
  <si>
    <t>Shyam Lal Jat</t>
  </si>
  <si>
    <t>Nimbhera</t>
  </si>
  <si>
    <t>Tbi (Nimbhera)</t>
  </si>
  <si>
    <t>Begun</t>
  </si>
  <si>
    <t>Tbi (Begun)</t>
  </si>
  <si>
    <t>Suresh Kumar</t>
  </si>
  <si>
    <t>Gajendra Kumar</t>
  </si>
  <si>
    <t>Virender Singh</t>
  </si>
  <si>
    <t>Jodhpur</t>
  </si>
  <si>
    <t>Jaitaran</t>
  </si>
  <si>
    <t>Hagami lal Jat</t>
  </si>
  <si>
    <t>Rajesh Kumar Vaishnav</t>
  </si>
  <si>
    <t>Pawan Kumar Sharma</t>
  </si>
  <si>
    <t>Shivram Sharma</t>
  </si>
  <si>
    <t>Than Singh Meena</t>
  </si>
  <si>
    <t>Rahul Choudhary</t>
  </si>
  <si>
    <t>Pradeep Kumar Rohlan</t>
  </si>
  <si>
    <t>Anupam Delu</t>
  </si>
  <si>
    <t>Lunkaransar</t>
  </si>
  <si>
    <t>Manoj Kumar Yadav</t>
  </si>
  <si>
    <t>TBI (Bassi)</t>
  </si>
  <si>
    <t>Mukesh Kumar Meghwal</t>
  </si>
  <si>
    <t>Mohan Singh</t>
  </si>
  <si>
    <t>Vikram Bishnoi</t>
  </si>
  <si>
    <t>Sanjay Singh Shekhawat</t>
  </si>
  <si>
    <t>Sunil Sain</t>
  </si>
  <si>
    <t>Suresh kumar Prajapat</t>
  </si>
  <si>
    <t>Ajay Nayak</t>
  </si>
  <si>
    <t>Ishwar Narayan Harsh</t>
  </si>
  <si>
    <t>Gourishankar Kumawat</t>
  </si>
  <si>
    <t>Vijay Kumar Sharma</t>
  </si>
  <si>
    <t>Surendra Kumar Gurjar</t>
  </si>
  <si>
    <t>Ajitgarh</t>
  </si>
  <si>
    <t>TBI (Ajitgarh)</t>
  </si>
  <si>
    <t>Rakesh Yadav</t>
  </si>
  <si>
    <t>Atul Kumar Sharma</t>
  </si>
  <si>
    <t>Raghuraj Singh</t>
  </si>
  <si>
    <t>Jai Prakash Chhaprewal</t>
  </si>
  <si>
    <t>Ratinder Singh</t>
  </si>
  <si>
    <t>Deepak Vajpayee</t>
  </si>
  <si>
    <t>Ram Niwas Jat</t>
  </si>
  <si>
    <t>NOKHA</t>
  </si>
  <si>
    <t> Sanction</t>
  </si>
  <si>
    <t>Mayur Luhadia</t>
  </si>
  <si>
    <t>Jai Singh</t>
  </si>
  <si>
    <t>Bhadar Singh</t>
  </si>
  <si>
    <t>Amit Kumawat</t>
  </si>
  <si>
    <t>Pradeep Saini</t>
  </si>
  <si>
    <t>Manoj Sharma</t>
  </si>
  <si>
    <t>Ranjan Somani</t>
  </si>
  <si>
    <t>Sunil Yadav</t>
  </si>
  <si>
    <t>Pawan Khandelwal</t>
  </si>
  <si>
    <t>Jitendra Singh</t>
  </si>
  <si>
    <t>Aakash Gujrati</t>
  </si>
  <si>
    <t>Suresh</t>
  </si>
  <si>
    <t>krishan Kumar</t>
  </si>
  <si>
    <t>Manoj Kumar</t>
  </si>
  <si>
    <t>Bharat Kumar</t>
  </si>
  <si>
    <t>Dharmpal Famda</t>
  </si>
  <si>
    <t>Sher Singh Rajput</t>
  </si>
  <si>
    <t>Manohar Singh</t>
  </si>
  <si>
    <t>Sunil Kumar</t>
  </si>
  <si>
    <t>Rahul Yadav</t>
  </si>
  <si>
    <t>Mahendra Kumar</t>
  </si>
  <si>
    <t>Gaurav Kumar</t>
  </si>
  <si>
    <t>Amandeep Singh</t>
  </si>
  <si>
    <t>Sanjay Kumar</t>
  </si>
  <si>
    <t>Jay Kumar</t>
  </si>
  <si>
    <t>Arjun Sharma</t>
  </si>
  <si>
    <t>Koshal Kumawat</t>
  </si>
  <si>
    <t>Rakesh Verma</t>
  </si>
  <si>
    <t>Shiv Kumar Meena</t>
  </si>
  <si>
    <t>Bhim Giri Goswami</t>
  </si>
  <si>
    <t>Rohit Vaishnav</t>
  </si>
  <si>
    <t>Gopichand Mujhalde</t>
  </si>
  <si>
    <t>Suraj Rathore</t>
  </si>
  <si>
    <t>Sudhir Kumar</t>
  </si>
  <si>
    <t>Atul Aameriya</t>
  </si>
  <si>
    <t>Pawan Kumar</t>
  </si>
  <si>
    <t>Naresh Kumar</t>
  </si>
  <si>
    <t>Pancham Rathore</t>
  </si>
  <si>
    <t>Sumit Jalwaniya</t>
  </si>
  <si>
    <t>Dharmpal Singh Chandawat</t>
  </si>
  <si>
    <t>Vikas Kumar</t>
  </si>
  <si>
    <t>Dilip Singh</t>
  </si>
  <si>
    <t>Rahul Modi</t>
  </si>
  <si>
    <t>Ganesharam Saran</t>
  </si>
  <si>
    <t>Prashant Kanungo</t>
  </si>
  <si>
    <t>Lokendra Chouhan</t>
  </si>
  <si>
    <t>Jaydeep Patel</t>
  </si>
  <si>
    <t>Baksheesh Singh</t>
  </si>
  <si>
    <t>Deepak Kumar Suthar</t>
  </si>
  <si>
    <t>Subash</t>
  </si>
  <si>
    <t>Surendra Kumar</t>
  </si>
  <si>
    <t>Jeetu Bairwa</t>
  </si>
  <si>
    <t>Harish Kumar Saini</t>
  </si>
  <si>
    <t>Mukesh Kumar Chouhan</t>
  </si>
  <si>
    <t>Yatindra Upadhyay</t>
  </si>
  <si>
    <t>Mahendra Singh Chouhan</t>
  </si>
  <si>
    <t>TBI</t>
  </si>
  <si>
    <t>Mukesh Saini</t>
  </si>
  <si>
    <t>Jaipur Ho</t>
  </si>
  <si>
    <t>Harmeet Singh</t>
  </si>
  <si>
    <t>Vijay</t>
  </si>
  <si>
    <t>Rajesh Kumar Sharma</t>
  </si>
  <si>
    <t>Dalip Kumar</t>
  </si>
  <si>
    <t>Ashok Gir Goswami</t>
  </si>
  <si>
    <t>Vela Ram</t>
  </si>
  <si>
    <t>Ravi Kumar Saini</t>
  </si>
  <si>
    <t>Jitendra Kumar Choudhary</t>
  </si>
  <si>
    <t>Rajesh varma</t>
  </si>
  <si>
    <t>Pankaj Dhanak</t>
  </si>
  <si>
    <t>Ashok</t>
  </si>
  <si>
    <t>Somesh</t>
  </si>
  <si>
    <t>Ankit Sharma</t>
  </si>
  <si>
    <t>Rahul Singh</t>
  </si>
  <si>
    <t>Manoj Kasawat</t>
  </si>
  <si>
    <t>Amit Kumar Sonarti</t>
  </si>
  <si>
    <t>Anil Prajapat</t>
  </si>
  <si>
    <t>Krishan Kumar Choudhary</t>
  </si>
  <si>
    <t>Radhamohan Jajoria</t>
  </si>
  <si>
    <t>Shriram Kumawat</t>
  </si>
  <si>
    <t>Mahesh Chand Kumawat</t>
  </si>
  <si>
    <t>Shivratan</t>
  </si>
  <si>
    <t>Rajesh Panecha</t>
  </si>
  <si>
    <t>Sunil Dhayal</t>
  </si>
  <si>
    <t>Ramniwash Bishnoi</t>
  </si>
  <si>
    <t>Vinod Kumar</t>
  </si>
  <si>
    <t>Pawan</t>
  </si>
  <si>
    <t>Dinesh Kumar</t>
  </si>
  <si>
    <t>Hanuman Prasad</t>
  </si>
  <si>
    <t>Manpreet Singh</t>
  </si>
  <si>
    <t>Kuldeep Singh Sharma</t>
  </si>
  <si>
    <t>Nand Kishor</t>
  </si>
  <si>
    <t>Ajit Singh</t>
  </si>
  <si>
    <t>Om Prakash</t>
  </si>
  <si>
    <t>Bhagwant Singh</t>
  </si>
  <si>
    <t>Shivshankar</t>
  </si>
  <si>
    <t>Rohitashv Yogi</t>
  </si>
  <si>
    <t>Anup Kumar Yadav</t>
  </si>
  <si>
    <t>Omprakash</t>
  </si>
  <si>
    <t>Karan Singh</t>
  </si>
  <si>
    <t>Vishal Kumar Dulara</t>
  </si>
  <si>
    <t>Saligram Gurjar</t>
  </si>
  <si>
    <t>Naresh Kachhwah</t>
  </si>
  <si>
    <t>Hemraj</t>
  </si>
  <si>
    <t>Gulab Ram</t>
  </si>
  <si>
    <t>Kailash Singh Soda</t>
  </si>
  <si>
    <t>Rajpal</t>
  </si>
  <si>
    <t>Ravindra Singh Bhati</t>
  </si>
  <si>
    <t>Shamsher Singh</t>
  </si>
  <si>
    <t>Piyush Bhardwaj</t>
  </si>
  <si>
    <t>Naveen Prakash Sharma</t>
  </si>
  <si>
    <t>Lalit Kumar</t>
  </si>
  <si>
    <t>Vikramditya Singh</t>
  </si>
  <si>
    <t>Yash Sharma</t>
  </si>
  <si>
    <t>Dilip Vaishnav</t>
  </si>
  <si>
    <t>Amit Pareek</t>
  </si>
  <si>
    <t>Rajendra Singh</t>
  </si>
  <si>
    <t>ANKIT SONI</t>
  </si>
  <si>
    <t>MANISH MISHRA</t>
  </si>
  <si>
    <t>Rishi Kumar Sisodiya</t>
  </si>
  <si>
    <t>Sachin Kumar</t>
  </si>
  <si>
    <t>Akash Chouhan</t>
  </si>
  <si>
    <t>Sanjay Shinde</t>
  </si>
  <si>
    <t>Sandeep Pawar</t>
  </si>
  <si>
    <t>Hemendra Singh Tomar</t>
  </si>
  <si>
    <t>Dilip</t>
  </si>
  <si>
    <t>Ashok Puri Goswami</t>
  </si>
  <si>
    <t>Sonu Singh</t>
  </si>
  <si>
    <t>Pradeep Singh</t>
  </si>
  <si>
    <t>Bhupendra Singh</t>
  </si>
  <si>
    <t>Hansraj Gurjar</t>
  </si>
  <si>
    <t>Vikram Yadav</t>
  </si>
  <si>
    <t>Dharmendra Saini</t>
  </si>
  <si>
    <t>Lakhan Singh Khichi</t>
  </si>
  <si>
    <t>Deepak Kuwal</t>
  </si>
  <si>
    <t>Rahul Bamniya</t>
  </si>
  <si>
    <t>Sonu Kumar</t>
  </si>
  <si>
    <t>Vikram Sadulpur</t>
  </si>
  <si>
    <t>BABU LAL</t>
  </si>
  <si>
    <t>Devendra Patel</t>
  </si>
  <si>
    <t>Shubham Patidar</t>
  </si>
  <si>
    <t>Satish Nath</t>
  </si>
  <si>
    <t>Pankaj Parihar</t>
  </si>
  <si>
    <t>Ajay Singh Jadoun</t>
  </si>
  <si>
    <t>Rohit Malviya</t>
  </si>
  <si>
    <t>Vishal</t>
  </si>
  <si>
    <t>Ajay KumarRajak</t>
  </si>
  <si>
    <t>Manoj Sourastry</t>
  </si>
  <si>
    <t>Sujit Thakur</t>
  </si>
  <si>
    <t>Arvindra Singh Sikarwar</t>
  </si>
  <si>
    <t>Shubham Sharma</t>
  </si>
  <si>
    <t>Piyush Savner</t>
  </si>
  <si>
    <t>Atul Jain</t>
  </si>
  <si>
    <t>Lavkesh Kumar Sharma</t>
  </si>
  <si>
    <t>Naresh Jain</t>
  </si>
  <si>
    <t>Rakesh Kumar Chopdar</t>
  </si>
  <si>
    <t>Akash Saini</t>
  </si>
  <si>
    <t>Abhishek Sharma</t>
  </si>
  <si>
    <t>Siyaram Kundwal</t>
  </si>
  <si>
    <t>Jagdish Prasad Jat</t>
  </si>
  <si>
    <t>Hemraj Sharma</t>
  </si>
  <si>
    <t>Devender Chandel</t>
  </si>
  <si>
    <t>Om Prakash Sharma</t>
  </si>
  <si>
    <t>Siyaram Choudhary</t>
  </si>
  <si>
    <t>Gyarsi Lal</t>
  </si>
  <si>
    <t>Jitendra Kumar Meena</t>
  </si>
  <si>
    <t>Kishan Rolaniya</t>
  </si>
  <si>
    <t>Surendra Kuri</t>
  </si>
  <si>
    <t>Rajkumar Sharma</t>
  </si>
  <si>
    <t>Takadir Singh</t>
  </si>
  <si>
    <t>Virendra Bareth</t>
  </si>
  <si>
    <t>Ashok Bagdi</t>
  </si>
  <si>
    <t>Ganesh Meghwal</t>
  </si>
  <si>
    <t>Pawan Bishnoi</t>
  </si>
  <si>
    <t>Raj Kumar Prajapat</t>
  </si>
  <si>
    <t>Sandeep Dadhich</t>
  </si>
  <si>
    <t>Neeraj Parihar</t>
  </si>
  <si>
    <t>Sagar</t>
  </si>
  <si>
    <t>Vikram Singh Jodhpur</t>
  </si>
  <si>
    <t>Ravi Choudhary</t>
  </si>
  <si>
    <t>Pankaj Vaishnav</t>
  </si>
  <si>
    <t>Sohan Lal</t>
  </si>
  <si>
    <t>Dinesh Kumar Sharma</t>
  </si>
  <si>
    <t>Ramesh Saini</t>
  </si>
  <si>
    <t>Harish Dudi</t>
  </si>
  <si>
    <t>Sahi Ram</t>
  </si>
  <si>
    <t>Birbal Ram</t>
  </si>
  <si>
    <t>Prem Chand</t>
  </si>
  <si>
    <t>Hari Ram Jakhar</t>
  </si>
  <si>
    <t>Rakesh Jakhar</t>
  </si>
  <si>
    <t>Ram Kumar Dharnia</t>
  </si>
  <si>
    <t>Ram Niwas Sharma</t>
  </si>
  <si>
    <t>Ghanshyam Kheer</t>
  </si>
  <si>
    <t>Sunil Kumar Tailor</t>
  </si>
  <si>
    <t>Navratan Singh Chouhan</t>
  </si>
  <si>
    <t>Lax Raj Singh Sisodiya</t>
  </si>
  <si>
    <t>Gopal Saini</t>
  </si>
  <si>
    <t>Mohan Lal Kumawat</t>
  </si>
  <si>
    <t>Shalander Singh</t>
  </si>
  <si>
    <t>Nand Kishor Upadhyay</t>
  </si>
  <si>
    <t>Vimal</t>
  </si>
  <si>
    <t>Dinesh Singh Rao</t>
  </si>
  <si>
    <t>Manoj Kumar Kumawat</t>
  </si>
  <si>
    <t>Deepak Jobner</t>
  </si>
  <si>
    <t>Dharmveer Choudhary</t>
  </si>
  <si>
    <t>Fatehnagar</t>
  </si>
  <si>
    <t>Surendra Kumar Sharma</t>
  </si>
  <si>
    <t>Rajesh Kumar Yadav</t>
  </si>
  <si>
    <t>Sunil Kumar Saini</t>
  </si>
  <si>
    <t>Surendra Kumar Jat</t>
  </si>
  <si>
    <t>Ramsharan Yadav</t>
  </si>
  <si>
    <t>Jitendra</t>
  </si>
  <si>
    <t>Sridungargarh</t>
  </si>
  <si>
    <t>Pratap Singh Shekhawat</t>
  </si>
  <si>
    <t>Jaipur-Sanganer</t>
  </si>
  <si>
    <t>Anand Shekhawat</t>
  </si>
  <si>
    <t>Vikas Verma</t>
  </si>
  <si>
    <t>Mukesh Saini G2</t>
  </si>
  <si>
    <t>Nanu Ram Yadav</t>
  </si>
  <si>
    <t>Manjeet Bakoliya</t>
  </si>
  <si>
    <t>Anand Kumar Gothwal</t>
  </si>
  <si>
    <t>Pradeep</t>
  </si>
  <si>
    <t>Aditya Sharma</t>
  </si>
  <si>
    <t>Deepak</t>
  </si>
  <si>
    <t>Vikram Singh Shekhawat</t>
  </si>
  <si>
    <t>Chandra Prakash</t>
  </si>
  <si>
    <t>Ahmedabad 1</t>
  </si>
  <si>
    <t>L&amp;T pending</t>
  </si>
  <si>
    <t xml:space="preserve">SANJAY SINGH </t>
  </si>
  <si>
    <t>Jaipur-Govindpura</t>
  </si>
  <si>
    <t>Low Income</t>
  </si>
  <si>
    <t>ANIL KUMAWAT</t>
  </si>
  <si>
    <t>RAGAVINDRA SINGH</t>
  </si>
  <si>
    <t>PAWAN KUMAR JANGIR</t>
  </si>
  <si>
    <t>Sunil Saini</t>
  </si>
  <si>
    <t>BCM</t>
  </si>
  <si>
    <t>CBM Name</t>
  </si>
  <si>
    <t>Branch</t>
  </si>
  <si>
    <t>RO CODE</t>
  </si>
  <si>
    <t>Valuation Status</t>
  </si>
  <si>
    <t>Vishal Patidar</t>
  </si>
  <si>
    <t>Gurpayar Singh</t>
  </si>
  <si>
    <t>ShriMadhopur</t>
  </si>
  <si>
    <t>Vijay Saini</t>
  </si>
  <si>
    <t>Mayur Joshi</t>
  </si>
  <si>
    <t>Vanshraj Gurjar</t>
  </si>
  <si>
    <t>Murari Lal Meena</t>
  </si>
  <si>
    <t>Kuldeep Joshi</t>
  </si>
  <si>
    <t>Vijay singh</t>
  </si>
  <si>
    <t>Vijayraj Singh Tanwar</t>
  </si>
  <si>
    <t>Shahpura Bhilwara</t>
  </si>
  <si>
    <t>Ajay Choudhary</t>
  </si>
  <si>
    <t>Rajveer Singh Saktawat</t>
  </si>
  <si>
    <t>Paota</t>
  </si>
  <si>
    <t>Ashok Kumar Khatik</t>
  </si>
  <si>
    <t>Prathvi Singh Yadav</t>
  </si>
  <si>
    <t>RatanGarh</t>
  </si>
  <si>
    <t>Bhilwara Cluster</t>
  </si>
  <si>
    <t>1962R</t>
  </si>
  <si>
    <t>Kamal Yadav</t>
  </si>
  <si>
    <t>Khargone</t>
  </si>
  <si>
    <t>Hemant Patidar</t>
  </si>
  <si>
    <t>Pawan Yadav</t>
  </si>
  <si>
    <t>Customer Name</t>
  </si>
  <si>
    <t>TBI (Sanganer)</t>
  </si>
  <si>
    <t>Chander Bhan</t>
  </si>
  <si>
    <t>Vishram Gurjar</t>
  </si>
  <si>
    <t>Rakesh</t>
  </si>
  <si>
    <t>Sunil  sain</t>
  </si>
  <si>
    <t>Navratan balai</t>
  </si>
  <si>
    <t>Ajay Singh Shekhawat</t>
  </si>
  <si>
    <t>Naman Kumar Sharma</t>
  </si>
  <si>
    <t>Barwani</t>
  </si>
  <si>
    <t>Jay Bawne</t>
  </si>
  <si>
    <t>Rahul Manddloi</t>
  </si>
  <si>
    <t>TBI (Bhilwara)</t>
  </si>
  <si>
    <t>Ram Kishor Meena</t>
  </si>
  <si>
    <t>Heera Lal Meena</t>
  </si>
  <si>
    <t>Kailash Chandar</t>
  </si>
  <si>
    <t>Kisana Ram Meghwal</t>
  </si>
  <si>
    <t>Sunil Sharma</t>
  </si>
  <si>
    <t>Kailash Panchariya</t>
  </si>
  <si>
    <t>Anil Malakar</t>
  </si>
  <si>
    <t>Subhash Chand Kumawat</t>
  </si>
  <si>
    <t>Udaipur</t>
  </si>
  <si>
    <t>Rajdeep Singh</t>
  </si>
  <si>
    <t>Manish Kumar Saini</t>
  </si>
  <si>
    <t>Satish Kumar Sharma</t>
  </si>
  <si>
    <t>Mahendra Singh Rathore</t>
  </si>
  <si>
    <t>BB002</t>
  </si>
  <si>
    <t>KIRANDEEP KAUR</t>
  </si>
  <si>
    <t>CCM WISE FTD REPORT</t>
  </si>
  <si>
    <t>CCM WISE MTD REPORT</t>
  </si>
  <si>
    <t>CBM WISE FTD REPORT</t>
  </si>
  <si>
    <t>CBM WISE MTD REPORT</t>
  </si>
  <si>
    <t>Valuation Initiation DateV</t>
  </si>
  <si>
    <t>Legal Status</t>
  </si>
  <si>
    <t>Sr. No</t>
  </si>
  <si>
    <t>MUKESH GODARA</t>
  </si>
  <si>
    <t>REWANTA RAM BHAMU</t>
  </si>
  <si>
    <t>BABU LAL SAINI</t>
  </si>
  <si>
    <t>DINESH CHANDRA GURJAR</t>
  </si>
  <si>
    <t>JAGDISHPRASAD</t>
  </si>
  <si>
    <t>Mahaveer</t>
  </si>
  <si>
    <t>VINOD YADAV</t>
  </si>
  <si>
    <t>MALKIT SINGH</t>
  </si>
  <si>
    <t>AMAR SINGH DODVA</t>
  </si>
  <si>
    <t>RAJKUMAR</t>
  </si>
  <si>
    <t>VIJAY KUMAR</t>
  </si>
  <si>
    <t>MANGI LAL LOHAR</t>
  </si>
  <si>
    <t>DEVA RAM</t>
  </si>
  <si>
    <t>SANTOSH PACHAVE</t>
  </si>
  <si>
    <t>LAXMAN SINGH</t>
  </si>
  <si>
    <t>MOHIT CHOUDHARY</t>
  </si>
  <si>
    <t>VIKRAM DOON</t>
  </si>
  <si>
    <t>SAHAB RAM</t>
  </si>
  <si>
    <t>DEEPAK NAYAK</t>
  </si>
  <si>
    <t>PRMESHWER GURJAR</t>
  </si>
  <si>
    <t>MAHENDRA SINGH GHOSLYA</t>
  </si>
  <si>
    <t>Surendra Pawar</t>
  </si>
  <si>
    <t>Sandeep Kumar</t>
  </si>
  <si>
    <t>Customer not available for next 3-4 days</t>
  </si>
  <si>
    <t>Akash Gujrati</t>
  </si>
  <si>
    <t>Jul</t>
  </si>
  <si>
    <t>VIJENDRA SINGH</t>
  </si>
  <si>
    <t>Done</t>
  </si>
  <si>
    <t>OMPRAKASH MEENA</t>
  </si>
  <si>
    <t>RAHUL DHAKAD</t>
  </si>
  <si>
    <t>Completed</t>
  </si>
  <si>
    <t>VIKASH MALIWAD</t>
  </si>
  <si>
    <t>LALUSINGH</t>
  </si>
  <si>
    <t>PRAHLAD BAIRWA</t>
  </si>
  <si>
    <t>RAHUL GUPTA</t>
  </si>
  <si>
    <t>ARJUN</t>
  </si>
  <si>
    <t>Kamlesh Sharma ( Bcm )</t>
  </si>
  <si>
    <t>Sanction letter and bank statement pending</t>
  </si>
  <si>
    <t>Hold</t>
  </si>
  <si>
    <t>CIBIL issue</t>
  </si>
  <si>
    <t>Low income and high obligation</t>
  </si>
  <si>
    <t>Disable person 40%, also single income earner as meson profile</t>
  </si>
  <si>
    <t>Jai Singh Rajvi</t>
  </si>
  <si>
    <t>HARDEVA RAM</t>
  </si>
  <si>
    <t>KRISHN MURARI</t>
  </si>
  <si>
    <t>RUPNARAYAN</t>
  </si>
  <si>
    <t>RAKESH KUMAR JALUTHARIA</t>
  </si>
  <si>
    <t>PAPPU</t>
  </si>
  <si>
    <t>RADHA BAI NIL</t>
  </si>
  <si>
    <t>SUNIL</t>
  </si>
  <si>
    <t>RAVINDRA</t>
  </si>
  <si>
    <t>PREM CHAND</t>
  </si>
  <si>
    <t>SUBHASH CHANDER</t>
  </si>
  <si>
    <t>ROSHAN LAL VARMA</t>
  </si>
  <si>
    <t>MUKESH PRAJAPAT</t>
  </si>
  <si>
    <t>BALURAM</t>
  </si>
  <si>
    <t>SOHANLAL</t>
  </si>
  <si>
    <t>VASUDEV</t>
  </si>
  <si>
    <t>SULTAN BARALA</t>
  </si>
  <si>
    <t>LAXMAN</t>
  </si>
  <si>
    <t>MOTILAL</t>
  </si>
  <si>
    <t>RAHUL KUMAR GURJAR</t>
  </si>
  <si>
    <t>SHISHUPAL</t>
  </si>
  <si>
    <t>ROHIT SANWARIYA</t>
  </si>
  <si>
    <t>JITENDRA</t>
  </si>
  <si>
    <t>VIKRAM</t>
  </si>
  <si>
    <t>HANUMAN PRASAD GURJAR</t>
  </si>
  <si>
    <t>SACHIN</t>
  </si>
  <si>
    <t>GHANSHYAM SHARMA</t>
  </si>
  <si>
    <t>Rakesh Kumar Meena</t>
  </si>
  <si>
    <t>Ravi Kumar</t>
  </si>
  <si>
    <t>JAGDISH</t>
  </si>
  <si>
    <t xml:space="preserve">Living standard low, seasonable income. </t>
  </si>
  <si>
    <t>low Income</t>
  </si>
  <si>
    <t>Customer NI</t>
  </si>
  <si>
    <t>KESHAR MAL</t>
  </si>
  <si>
    <t>Manoj Kumar Sharma</t>
  </si>
  <si>
    <t>High demand , driver profile, low valuation</t>
  </si>
  <si>
    <t>Salary account but salary banking not showing the amount is credited , found the only 1 july tansaction as  3650 only</t>
  </si>
  <si>
    <t>SHER SINGH</t>
  </si>
  <si>
    <t>Banking pending salaried person</t>
  </si>
  <si>
    <t>Banking pending</t>
  </si>
  <si>
    <t>PRADIP MALVIYA</t>
  </si>
  <si>
    <t>KAILASH YADAV</t>
  </si>
  <si>
    <t>SACHIN CHOUHAN</t>
  </si>
  <si>
    <t>AMIT SAINI</t>
  </si>
  <si>
    <t>SITA RAM BAIRWA</t>
  </si>
  <si>
    <t>GOPAL MALVIYA</t>
  </si>
  <si>
    <t>SARDAR MAL</t>
  </si>
  <si>
    <t>GOPAL TIROLE</t>
  </si>
  <si>
    <t>RAJU SINGH</t>
  </si>
  <si>
    <t>Arjun</t>
  </si>
  <si>
    <t>DPD in running loan and customer out of station</t>
  </si>
  <si>
    <t>Mohan Kumawat</t>
  </si>
  <si>
    <t>Mayank Purohit</t>
  </si>
  <si>
    <t>DPD in property loan</t>
  </si>
  <si>
    <t>Negetive FI and his father not agree for loan</t>
  </si>
  <si>
    <t>CIBIL defaulter and negetive FI</t>
  </si>
  <si>
    <t>Business visit pending</t>
  </si>
  <si>
    <t>Customer son's not well, hence business pd not possible for next 3-4 days</t>
  </si>
  <si>
    <t>Bad repayment CIBIL 70k OD</t>
  </si>
  <si>
    <t>SOA pending</t>
  </si>
  <si>
    <t>Branch team not revert on mail and confirm to reject the case</t>
  </si>
  <si>
    <t>MUKESH BASETIA</t>
  </si>
  <si>
    <t>Bane Sinch Devada</t>
  </si>
  <si>
    <t>GOVIND CHOUHAN</t>
  </si>
  <si>
    <t>ASAMAN KANWAR</t>
  </si>
  <si>
    <t>PRADEEP SINGH</t>
  </si>
  <si>
    <t>Kamal</t>
  </si>
  <si>
    <t>DASHRAT YOGI</t>
  </si>
  <si>
    <t>SANVAR LAL</t>
  </si>
  <si>
    <t>HARIRAM</t>
  </si>
  <si>
    <t>Document pending</t>
  </si>
  <si>
    <t>Salary credit banking req</t>
  </si>
  <si>
    <t>Business visit not possible due to rain for next 5-6 days</t>
  </si>
  <si>
    <t>Banking pending and need to add narender as co -applicant</t>
  </si>
  <si>
    <t>LUNKARANSAR</t>
  </si>
  <si>
    <t>GANESH NAYAK</t>
  </si>
  <si>
    <t>MAHESH KARMA</t>
  </si>
  <si>
    <t>VIJAY GURJAR</t>
  </si>
  <si>
    <t>VIKAS CHOUDHARY</t>
  </si>
  <si>
    <t>Kailash Chand MEENA</t>
  </si>
  <si>
    <t>ISHWARDAS BAiRAGI</t>
  </si>
  <si>
    <t>ARUN KUMAR</t>
  </si>
  <si>
    <t>RAVI DHANKHAD</t>
  </si>
  <si>
    <t>RAJESH NAYAK</t>
  </si>
  <si>
    <t>NETRAM NAI</t>
  </si>
  <si>
    <t>KISHAN LAL SAINI</t>
  </si>
  <si>
    <t>Non SOPR property</t>
  </si>
  <si>
    <t>Emloyment visit pending due to customer not going to site due to rain</t>
  </si>
  <si>
    <t>Mahendra Verma</t>
  </si>
  <si>
    <t>Dinesh Kumar Vaishnav</t>
  </si>
  <si>
    <t>Tarun Jain</t>
  </si>
  <si>
    <t>Jitendra Yadav</t>
  </si>
  <si>
    <t>Mahendra Bairwa</t>
  </si>
  <si>
    <t>SHANKAR SINGH</t>
  </si>
  <si>
    <t>Income issue and property issue</t>
  </si>
  <si>
    <t>Income not verified</t>
  </si>
  <si>
    <t>salary account stmt pending</t>
  </si>
  <si>
    <t>Income not supportive for loan and poor living standard</t>
  </si>
  <si>
    <t>SOA pending from Au bank and SK finance</t>
  </si>
  <si>
    <t>GANESH GIRI</t>
  </si>
  <si>
    <t>VIJENDAR KUMAR</t>
  </si>
  <si>
    <t>PRAKASH CHAND GOSWAMI</t>
  </si>
  <si>
    <t>OM SINGH</t>
  </si>
  <si>
    <t>DHAMENDRA KUMAR 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</si>
</sst>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rebuchet MS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rgb="FFFFFFFF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000000"/>
      <name val="Calibri"/>
      <family val="2"/>
    </font>
    <font>
      <sz val="11"/>
      <color theme="0"/>
      <name val="Calibri"/>
      <family val="2"/>
    </font>
    <font>
      <sz val="10"/>
      <name val="Calibri"/>
      <family val="2"/>
      <scheme val="minor"/>
    </font>
    <font>
      <sz val="10"/>
      <color theme="1"/>
      <name val="Franklin Gothic Book"/>
      <family val="2"/>
    </font>
    <font>
      <sz val="11"/>
      <color rgb="FF000000"/>
      <name val="Garamond"/>
      <family val="1"/>
    </font>
    <font>
      <sz val="11"/>
      <name val="Calibri"/>
      <family val="2"/>
    </font>
    <font>
      <sz val="10"/>
      <color theme="0"/>
      <name val="Trebuchet MS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rgb="FF000000"/>
      <name val="Calibri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2" fillId="10" borderId="7" xfId="0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center"/>
    </xf>
    <xf numFmtId="2" fontId="16" fillId="10" borderId="1" xfId="0" applyNumberFormat="1" applyFont="1" applyFill="1" applyBorder="1" applyAlignment="1">
      <alignment horizontal="center" vertical="center"/>
    </xf>
    <xf numFmtId="1" fontId="16" fillId="1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12" borderId="0" xfId="0" applyFont="1" applyFill="1" applyAlignment="1">
      <alignment vertical="center"/>
    </xf>
    <xf numFmtId="0" fontId="7" fillId="13" borderId="1" xfId="0" applyFont="1" applyFill="1" applyBorder="1" applyAlignment="1">
      <alignment horizontal="center"/>
    </xf>
    <xf numFmtId="0" fontId="18" fillId="12" borderId="8" xfId="0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7" fillId="10" borderId="1" xfId="0" applyFont="1" applyFill="1" applyBorder="1"/>
    <xf numFmtId="0" fontId="12" fillId="10" borderId="1" xfId="0" applyFont="1" applyFill="1" applyBorder="1" applyAlignment="1">
      <alignment vertical="center"/>
    </xf>
    <xf numFmtId="0" fontId="0" fillId="10" borderId="0" xfId="0" applyFill="1"/>
    <xf numFmtId="0" fontId="18" fillId="4" borderId="1" xfId="0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indent="1"/>
    </xf>
    <xf numFmtId="0" fontId="0" fillId="10" borderId="0" xfId="0" applyFill="1" applyAlignment="1">
      <alignment horizontal="center"/>
    </xf>
    <xf numFmtId="0" fontId="5" fillId="1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vertic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/>
    <xf numFmtId="0" fontId="24" fillId="9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7" fillId="14" borderId="1" xfId="0" applyFont="1" applyFill="1" applyBorder="1"/>
    <xf numFmtId="0" fontId="12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20" fillId="14" borderId="8" xfId="0" applyFont="1" applyFill="1" applyBorder="1" applyAlignment="1">
      <alignment vertical="center"/>
    </xf>
    <xf numFmtId="0" fontId="7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 applyProtection="1">
      <alignment horizontal="center"/>
      <protection locked="0"/>
    </xf>
    <xf numFmtId="0" fontId="1" fillId="14" borderId="1" xfId="1" applyFill="1" applyBorder="1" applyAlignment="1">
      <alignment horizontal="center" vertical="center"/>
    </xf>
    <xf numFmtId="0" fontId="0" fillId="14" borderId="0" xfId="0" applyFill="1" applyAlignment="1">
      <alignment horizontal="left" indent="1"/>
    </xf>
    <xf numFmtId="0" fontId="0" fillId="1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7" fillId="16" borderId="0" xfId="0" applyFont="1" applyFill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164" fontId="1" fillId="7" borderId="1" xfId="0" applyNumberFormat="1" applyFont="1" applyFill="1" applyBorder="1" applyAlignment="1">
      <alignment wrapText="1"/>
    </xf>
    <xf numFmtId="0" fontId="13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30" fillId="17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2" fillId="0" borderId="0" xfId="0" applyFont="1"/>
    <xf numFmtId="1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 wrapText="1"/>
    </xf>
    <xf numFmtId="164" fontId="9" fillId="6" borderId="2" xfId="0" applyNumberFormat="1" applyFont="1" applyFill="1" applyBorder="1" applyAlignment="1">
      <alignment vertical="center" wrapText="1"/>
    </xf>
    <xf numFmtId="0" fontId="2" fillId="8" borderId="5" xfId="0" applyFont="1" applyFill="1" applyBorder="1"/>
    <xf numFmtId="0" fontId="2" fillId="8" borderId="6" xfId="0" applyFont="1" applyFill="1" applyBorder="1"/>
    <xf numFmtId="0" fontId="5" fillId="3" borderId="2" xfId="0" applyFont="1" applyFill="1" applyBorder="1" applyAlignment="1" applyProtection="1">
      <alignment horizontal="center"/>
      <protection locked="0"/>
    </xf>
    <xf numFmtId="164" fontId="6" fillId="7" borderId="4" xfId="0" applyNumberFormat="1" applyFont="1" applyFill="1" applyBorder="1" applyAlignment="1">
      <alignment horizontal="center" vertical="center" wrapText="1"/>
    </xf>
    <xf numFmtId="164" fontId="9" fillId="7" borderId="4" xfId="0" applyNumberFormat="1" applyFont="1" applyFill="1" applyBorder="1" applyAlignment="1">
      <alignment horizontal="center" vertical="center" wrapText="1"/>
    </xf>
    <xf numFmtId="14" fontId="6" fillId="7" borderId="4" xfId="0" applyNumberFormat="1" applyFont="1" applyFill="1" applyBorder="1" applyAlignment="1">
      <alignment horizontal="center" vertical="center" wrapText="1"/>
    </xf>
    <xf numFmtId="14" fontId="6" fillId="6" borderId="4" xfId="0" applyNumberFormat="1" applyFont="1" applyFill="1" applyBorder="1" applyAlignment="1">
      <alignment horizontal="center" vertical="center" wrapText="1"/>
    </xf>
    <xf numFmtId="1" fontId="9" fillId="6" borderId="4" xfId="0" applyNumberFormat="1" applyFont="1" applyFill="1" applyBorder="1" applyAlignment="1">
      <alignment horizontal="center" vertical="center" wrapText="1"/>
    </xf>
    <xf numFmtId="14" fontId="9" fillId="7" borderId="4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left" vertical="center"/>
    </xf>
    <xf numFmtId="0" fontId="17" fillId="10" borderId="7" xfId="0" applyFont="1" applyFill="1" applyBorder="1" applyAlignment="1">
      <alignment horizontal="left" vertical="center"/>
    </xf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4" fillId="9" borderId="3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11" fillId="15" borderId="3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13" fillId="11" borderId="1" xfId="0" applyFont="1" applyFill="1" applyBorder="1" applyAlignment="1">
      <alignment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1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2.817067361109" createdVersion="8" refreshedVersion="8" minRefreshableVersion="3" recordCount="101" xr:uid="{00000000-000A-0000-FFFF-FFFF05000000}">
  <cacheSource type="worksheet">
    <worksheetSource ref="A1:AC405" sheet="Aug-24 CREDIT MIS"/>
  </cacheSource>
  <cacheFields count="29">
    <cacheField name="Sr. No" numFmtId="0">
      <sharedItems containsString="0" containsBlank="1" containsNumber="1" containsInteger="1" minValue="1" maxValue="100"/>
    </cacheField>
    <cacheField name="Lead ID (Synofin)" numFmtId="0">
      <sharedItems containsString="0" containsBlank="1" containsNumber="1" containsInteger="1" minValue="8482" maxValue="9798"/>
    </cacheField>
    <cacheField name="Login Date" numFmtId="14">
      <sharedItems containsNonDate="0" containsDate="1" containsString="0" containsBlank="1" minDate="2024-07-10T00:00:00" maxDate="2024-08-09T00:00:00"/>
    </cacheField>
    <cacheField name="MONTH" numFmtId="0">
      <sharedItems containsBlank="1"/>
    </cacheField>
    <cacheField name="Branches" numFmtId="0">
      <sharedItems containsBlank="1"/>
    </cacheField>
    <cacheField name="Customer Name" numFmtId="0">
      <sharedItems containsBlank="1"/>
    </cacheField>
    <cacheField name="RO Code" numFmtId="0">
      <sharedItems containsString="0" containsBlank="1" containsNumber="1" containsInteger="1" minValue="1004" maxValue="3484"/>
    </cacheField>
    <cacheField name="RO Name" numFmtId="0">
      <sharedItems containsBlank="1"/>
    </cacheField>
    <cacheField name="BM Name" numFmtId="0">
      <sharedItems containsBlank="1"/>
    </cacheField>
    <cacheField name="BM Code" numFmtId="0">
      <sharedItems containsBlank="1" containsMixedTypes="1" containsNumber="1" containsInteger="1" minValue="1358" maxValue="3465"/>
    </cacheField>
    <cacheField name="CBM" numFmtId="0">
      <sharedItems containsBlank="1"/>
    </cacheField>
    <cacheField name="CBM Code" numFmtId="0">
      <sharedItems containsBlank="1" containsMixedTypes="1" containsNumber="1" containsInteger="1" minValue="1140" maxValue="3490"/>
    </cacheField>
    <cacheField name="SH" numFmtId="0">
      <sharedItems containsBlank="1"/>
    </cacheField>
    <cacheField name="CCM" numFmtId="0">
      <sharedItems containsBlank="1" count="8">
        <s v="Ajay Gupta"/>
        <s v="Manoj Chauhan"/>
        <s v="Jaipur HO"/>
        <s v="Sunil Bagoria"/>
        <s v="Mohan Shankar Sharma"/>
        <s v="Sanjay Arya"/>
        <s v="Pradeep kumar Rohlan"/>
        <m/>
      </sharedItems>
    </cacheField>
    <cacheField name="Visit Official Name_x000a_(Credit Part)" numFmtId="0">
      <sharedItems containsBlank="1"/>
    </cacheField>
    <cacheField name="PD STATUS" numFmtId="0">
      <sharedItems containsBlank="1"/>
    </cacheField>
    <cacheField name="PD Date" numFmtId="14">
      <sharedItems containsNonDate="0" containsDate="1" containsString="0" containsBlank="1" minDate="2024-07-12T00:00:00" maxDate="2024-08-09T00:00:00"/>
    </cacheField>
    <cacheField name="Doc Pending" numFmtId="0">
      <sharedItems containsBlank="1"/>
    </cacheField>
    <cacheField name="Initial File Status (Credit)" numFmtId="0">
      <sharedItems containsBlank="1" count="7">
        <s v="Reject"/>
        <s v="Recommend"/>
        <s v="Sanction"/>
        <s v="Query- Sales"/>
        <s v="WIP- Credit"/>
        <s v="Visit Pending"/>
        <m/>
      </sharedItems>
    </cacheField>
    <cacheField name="Request Amount" numFmtId="0">
      <sharedItems containsString="0" containsBlank="1" containsNumber="1" containsInteger="1" minValue="300000" maxValue="5000000"/>
    </cacheField>
    <cacheField name="Decision date" numFmtId="14">
      <sharedItems containsNonDate="0" containsDate="1" containsString="0" containsBlank="1" minDate="2024-07-24T00:00:00" maxDate="2024-08-09T00:00:00"/>
    </cacheField>
    <cacheField name="Sanction Amount" numFmtId="0">
      <sharedItems containsString="0" containsBlank="1" containsNumber="1" containsInteger="1" minValue="250000" maxValue="550000"/>
    </cacheField>
    <cacheField name="Sanction Letter Date" numFmtId="14">
      <sharedItems containsNonDate="0" containsDate="1" containsString="0" containsBlank="1" minDate="2024-07-24T00:00:00" maxDate="2024-08-09T00:00:00"/>
    </cacheField>
    <cacheField name="Sanction Letter Month" numFmtId="0">
      <sharedItems containsBlank="1"/>
    </cacheField>
    <cacheField name="Valuation Initiation DateV" numFmtId="0">
      <sharedItems containsNonDate="0" containsDate="1" containsString="0" containsBlank="1" minDate="2024-07-12T00:00:00" maxDate="2024-08-08T00:00:00"/>
    </cacheField>
    <cacheField name="Valuation Received Date" numFmtId="14">
      <sharedItems containsNonDate="0" containsDate="1" containsString="0" containsBlank="1" minDate="2024-07-13T00:00:00" maxDate="2024-08-09T00:00:00"/>
    </cacheField>
    <cacheField name="Valuation Status" numFmtId="0">
      <sharedItems containsBlank="1"/>
    </cacheField>
    <cacheField name="Legal Initiation Date" numFmtId="14">
      <sharedItems containsNonDate="0" containsDate="1" containsString="0" containsBlank="1" minDate="2024-07-22T00:00:00" maxDate="2024-08-02T00:00:00"/>
    </cacheField>
    <cacheField name="Legal Received Date" numFmtId="14">
      <sharedItems containsNonDate="0" containsDate="1" containsString="0" containsBlank="1" minDate="2024-07-23T00:00:00" maxDate="2024-08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n v="9402"/>
    <d v="2024-07-22T00:00:00"/>
    <s v="Jul"/>
    <s v="Govindpura"/>
    <s v="VIJENDRA SINGH"/>
    <n v="1394"/>
    <s v="Vikram Singh Shekhawat"/>
    <s v="Deepak Vajpayee"/>
    <n v="1358"/>
    <s v="Vijay Yadav"/>
    <n v="1463"/>
    <s v="Mayur Luhadia"/>
    <x v="0"/>
    <s v="Narendra Gurjar"/>
    <s v="Done"/>
    <d v="2024-07-24T00:00:00"/>
    <m/>
    <x v="0"/>
    <n v="2200000"/>
    <d v="2024-07-30T00:00:00"/>
    <m/>
    <m/>
    <s v=""/>
    <d v="2024-07-25T00:00:00"/>
    <d v="2024-07-27T00:00:00"/>
    <s v="Received"/>
    <m/>
    <m/>
  </r>
  <r>
    <n v="2"/>
    <n v="9286"/>
    <d v="2024-07-22T00:00:00"/>
    <s v="Jul"/>
    <s v="Indore"/>
    <s v="OMPRAKASH MEENA"/>
    <n v="3178"/>
    <s v="Akash Chouhan"/>
    <s v="Ankur Khole"/>
    <n v="3052"/>
    <s v="Ankur Khole"/>
    <n v="3052"/>
    <s v="Ranjan Somani"/>
    <x v="1"/>
    <s v="Nirmal Patidar"/>
    <s v="Done"/>
    <d v="2024-07-24T00:00:00"/>
    <m/>
    <x v="0"/>
    <n v="990000"/>
    <d v="2024-08-06T00:00:00"/>
    <m/>
    <m/>
    <s v=""/>
    <d v="2024-07-26T00:00:00"/>
    <d v="2024-07-28T00:00:00"/>
    <s v="Received"/>
    <m/>
    <m/>
  </r>
  <r>
    <n v="3"/>
    <n v="9534"/>
    <d v="2024-07-24T00:00:00"/>
    <s v="Jul"/>
    <s v="Jaipur HO"/>
    <s v="RAHUL DHAKAD"/>
    <n v="1004"/>
    <s v="Sunil Sharma"/>
    <s v="Jaipur HO"/>
    <s v="Jaipur HO"/>
    <s v="Jaipur HO"/>
    <s v="Jaipur Ho"/>
    <s v="Jaipur HO"/>
    <x v="2"/>
    <s v="Sanjay Arya"/>
    <s v="Done"/>
    <d v="2024-07-26T00:00:00"/>
    <m/>
    <x v="1"/>
    <n v="3500000"/>
    <m/>
    <m/>
    <m/>
    <s v=""/>
    <m/>
    <m/>
    <s v=""/>
    <d v="2024-07-25T00:00:00"/>
    <d v="2024-07-27T00:00:00"/>
  </r>
  <r>
    <n v="4"/>
    <n v="9408"/>
    <d v="2024-07-24T00:00:00"/>
    <s v="Jul"/>
    <s v="Indore"/>
    <s v="VIKASH MALIWAD"/>
    <n v="3202"/>
    <s v="Ajay KumarRajak"/>
    <s v="Arjun Ekle"/>
    <n v="3353"/>
    <s v="Ankur Khole"/>
    <n v="3052"/>
    <s v="Ranjan Somani"/>
    <x v="1"/>
    <s v="Nirmal Patidar"/>
    <s v="Done"/>
    <d v="2024-07-25T00:00:00"/>
    <m/>
    <x v="0"/>
    <n v="999999"/>
    <d v="2024-08-07T00:00:00"/>
    <m/>
    <m/>
    <s v=""/>
    <m/>
    <m/>
    <s v=""/>
    <m/>
    <m/>
  </r>
  <r>
    <n v="5"/>
    <n v="9109"/>
    <d v="2024-07-12T00:00:00"/>
    <s v="Jul"/>
    <s v="Mandsaur"/>
    <s v="SHANKAR SINGH"/>
    <n v="2006"/>
    <s v="Deepak Kumar Suthar"/>
    <s v="Devendra Chouhan"/>
    <n v="2002"/>
    <s v="TBI (Ratlam)"/>
    <s v="TBI (Ratlam)"/>
    <s v="Ranjan Somani"/>
    <x v="1"/>
    <s v="Sanjay Joshi"/>
    <s v="Done"/>
    <d v="2024-07-15T00:00:00"/>
    <m/>
    <x v="2"/>
    <n v="400000"/>
    <d v="2024-08-08T00:00:00"/>
    <n v="250000"/>
    <d v="2024-08-08T00:00:00"/>
    <s v="Aug"/>
    <m/>
    <m/>
    <s v=""/>
    <m/>
    <m/>
  </r>
  <r>
    <n v="6"/>
    <n v="9374"/>
    <d v="2024-07-25T00:00:00"/>
    <s v="Jul"/>
    <s v="Khargone"/>
    <s v="Jitendra Yadav"/>
    <n v="3411"/>
    <s v="Hemant Patidar"/>
    <s v="Pawan Yadav"/>
    <n v="3373"/>
    <s v="Ankur Khole"/>
    <n v="3052"/>
    <s v="Ranjan Somani"/>
    <x v="1"/>
    <s v="Rahul Gogle"/>
    <s v="Done"/>
    <d v="2024-08-08T00:00:00"/>
    <m/>
    <x v="1"/>
    <n v="300000"/>
    <d v="2024-07-27T00:00:00"/>
    <m/>
    <m/>
    <m/>
    <m/>
    <m/>
    <m/>
    <m/>
    <m/>
  </r>
  <r>
    <n v="7"/>
    <n v="9504"/>
    <d v="2024-07-24T00:00:00"/>
    <s v="Jul"/>
    <s v="Indore"/>
    <s v="LALUSINGH"/>
    <n v="3178"/>
    <s v="Akash Chouhan"/>
    <s v="Ankur Khole"/>
    <n v="3052"/>
    <s v="Ankur Khole"/>
    <n v="3052"/>
    <s v="Ranjan Somani"/>
    <x v="1"/>
    <s v="Nirmal Patidar"/>
    <s v="Done"/>
    <d v="2024-07-27T00:00:00"/>
    <m/>
    <x v="0"/>
    <n v="500000"/>
    <d v="2024-08-06T00:00:00"/>
    <m/>
    <m/>
    <s v=""/>
    <d v="2024-07-28T00:00:00"/>
    <d v="2024-07-30T00:00:00"/>
    <s v="Received"/>
    <m/>
    <m/>
  </r>
  <r>
    <n v="8"/>
    <n v="9030"/>
    <d v="2024-07-10T00:00:00"/>
    <s v="Jul"/>
    <s v="RatanGarh"/>
    <s v="JAGDISH"/>
    <n v="1764"/>
    <s v="Birbal Ram"/>
    <s v="Nemichand Nain"/>
    <n v="1762"/>
    <s v="Santosh Kumar"/>
    <n v="1447"/>
    <s v="Mayur Luhadia"/>
    <x v="3"/>
    <s v="Devi Lal Yadav"/>
    <s v="Done"/>
    <d v="2024-07-12T00:00:00"/>
    <m/>
    <x v="2"/>
    <n v="800000"/>
    <d v="2024-07-31T00:00:00"/>
    <n v="400000"/>
    <d v="2024-07-31T00:00:00"/>
    <s v="Jul"/>
    <d v="2024-07-12T00:00:00"/>
    <d v="2024-07-13T00:00:00"/>
    <s v="Received"/>
    <d v="2024-08-01T00:00:00"/>
    <d v="2024-08-01T00:00:00"/>
  </r>
  <r>
    <n v="9"/>
    <n v="9248"/>
    <d v="2024-07-17T00:00:00"/>
    <s v="Jul"/>
    <s v="Nohar"/>
    <s v="SHER SINGH"/>
    <n v="3348"/>
    <s v="Amandeep Singh"/>
    <s v="Ram Pratap Rathi"/>
    <n v="3134"/>
    <s v="Gurdeep Singh"/>
    <n v="3256"/>
    <s v="Mayur Luhadia"/>
    <x v="4"/>
    <s v="Sandeep Kumar"/>
    <s v="Done"/>
    <d v="2024-07-19T00:00:00"/>
    <m/>
    <x v="2"/>
    <n v="900000"/>
    <d v="2024-08-07T00:00:00"/>
    <n v="550000"/>
    <d v="2024-08-07T00:00:00"/>
    <s v="Aug"/>
    <d v="2024-07-21T00:00:00"/>
    <d v="2024-07-24T00:00:00"/>
    <s v="Received"/>
    <d v="2024-07-22T00:00:00"/>
    <d v="2024-07-23T00:00:00"/>
  </r>
  <r>
    <n v="10"/>
    <n v="9359"/>
    <d v="2024-07-20T00:00:00"/>
    <s v="Jul"/>
    <s v="Taranagar"/>
    <s v="KESHAR MAL"/>
    <n v="3325"/>
    <s v="Vikas Kumar"/>
    <s v="Vikash kumar"/>
    <n v="3237"/>
    <s v="Santosh Kumar"/>
    <n v="1447"/>
    <s v="Mayur Luhadia"/>
    <x v="3"/>
    <s v="Manoj Kumar Sharma"/>
    <s v="Done"/>
    <d v="2024-07-22T00:00:00"/>
    <m/>
    <x v="2"/>
    <n v="700000"/>
    <d v="2024-07-24T00:00:00"/>
    <n v="380000"/>
    <d v="2024-07-24T00:00:00"/>
    <s v="Jul"/>
    <d v="2024-07-22T00:00:00"/>
    <d v="2024-07-24T00:00:00"/>
    <s v="Received"/>
    <d v="2024-07-25T00:00:00"/>
    <d v="2024-07-25T00:00:00"/>
  </r>
  <r>
    <n v="11"/>
    <n v="9620"/>
    <d v="2024-07-29T00:00:00"/>
    <s v="Jul"/>
    <s v="Chaksu"/>
    <s v="PRAHLAD BAIRWA"/>
    <n v="3329"/>
    <s v="Koshal Kumawat"/>
    <s v="Vanshraj Gurjar"/>
    <n v="3426"/>
    <s v="Kamlesh Sharma"/>
    <n v="1140"/>
    <s v="Pawan Khandelwal"/>
    <x v="5"/>
    <s v="Kamlesh Sharma ( Bcm )"/>
    <s v="Done"/>
    <d v="2024-07-30T00:00:00"/>
    <m/>
    <x v="0"/>
    <n v="990000"/>
    <d v="2024-07-31T00:00:00"/>
    <m/>
    <m/>
    <s v=""/>
    <d v="2024-07-29T00:00:00"/>
    <d v="2024-07-31T00:00:00"/>
    <s v="Received"/>
    <d v="2024-07-29T00:00:00"/>
    <d v="2024-07-31T00:00:00"/>
  </r>
  <r>
    <n v="12"/>
    <n v="9621"/>
    <d v="2024-07-30T00:00:00"/>
    <s v="Jul"/>
    <s v="Jaipur"/>
    <s v="RAHUL GUPTA"/>
    <n v="1147"/>
    <s v="Jeetu Bairwa"/>
    <s v="TBI (Sanganer)"/>
    <s v="TBI (Sanganer)"/>
    <s v="Kamlesh Sharma"/>
    <n v="1140"/>
    <s v="Pawan Khandelwal"/>
    <x v="5"/>
    <s v="Sanjay Arya"/>
    <s v="Done"/>
    <d v="2024-07-31T00:00:00"/>
    <s v="Sanction letter and bank statement pending"/>
    <x v="3"/>
    <n v="5000000"/>
    <m/>
    <m/>
    <m/>
    <s v=""/>
    <d v="2024-07-31T00:00:00"/>
    <m/>
    <s v="Pending"/>
    <d v="2024-07-31T00:00:00"/>
    <m/>
  </r>
  <r>
    <n v="13"/>
    <n v="9651"/>
    <d v="2024-07-31T00:00:00"/>
    <s v="Jul"/>
    <s v="Mandsaur"/>
    <s v="ARJUN"/>
    <n v="2006"/>
    <s v="Deepak Kumar Suthar"/>
    <s v="Devendra Chouhan"/>
    <n v="2002"/>
    <s v="TBI (Ratlam)"/>
    <s v="TBI (Ratlam)"/>
    <s v="Ranjan Somani"/>
    <x v="1"/>
    <s v="Sanjay Joshi"/>
    <s v="Done"/>
    <d v="2024-08-01T00:00:00"/>
    <m/>
    <x v="2"/>
    <n v="600000"/>
    <d v="2024-08-07T00:00:00"/>
    <n v="500000"/>
    <d v="2024-08-07T00:00:00"/>
    <s v="Aug"/>
    <d v="2024-08-02T00:00:00"/>
    <d v="2024-08-06T00:00:00"/>
    <s v="Received"/>
    <m/>
    <m/>
  </r>
  <r>
    <n v="14"/>
    <n v="9495"/>
    <d v="2024-08-01T00:00:00"/>
    <s v="Aug"/>
    <s v="Shri Dungargarh"/>
    <s v="MUKESH GODARA"/>
    <n v="1745"/>
    <s v="Rakesh Jakhar"/>
    <s v="Anupam Delu"/>
    <n v="3392"/>
    <s v="Gajanand Purohit"/>
    <n v="1596"/>
    <s v="Mayur Luhadia"/>
    <x v="6"/>
    <s v="Jai Singh Rajvi"/>
    <s v="Done"/>
    <d v="2024-08-06T00:00:00"/>
    <s v="Business visit pending"/>
    <x v="3"/>
    <n v="600000"/>
    <m/>
    <m/>
    <m/>
    <s v=""/>
    <m/>
    <m/>
    <s v=""/>
    <m/>
    <m/>
  </r>
  <r>
    <n v="15"/>
    <n v="9652"/>
    <d v="2024-08-01T00:00:00"/>
    <s v="Aug"/>
    <s v="RatanGarh"/>
    <s v="REWANTA RAM BHAMU"/>
    <n v="3440"/>
    <s v="Dinesh Kumar"/>
    <s v="Nemichand Nain"/>
    <n v="1762"/>
    <s v="Santosh Kumar"/>
    <n v="1447"/>
    <s v="Mayur Luhadia"/>
    <x v="3"/>
    <s v="Amit Kumar"/>
    <s v="Done"/>
    <d v="2024-08-08T00:00:00"/>
    <s v="Business visit pending"/>
    <x v="3"/>
    <n v="700000"/>
    <d v="2024-08-03T00:00:00"/>
    <m/>
    <m/>
    <s v=""/>
    <m/>
    <m/>
    <s v=""/>
    <m/>
    <m/>
  </r>
  <r>
    <n v="16"/>
    <n v="8482"/>
    <d v="2024-08-01T00:00:00"/>
    <s v="Aug"/>
    <s v="ShriMadhopur"/>
    <s v="BABU LAL SAINI"/>
    <n v="1821"/>
    <s v="Dinesh Kumar"/>
    <s v="Bharat Singh Kuntal"/>
    <n v="1772"/>
    <s v="Bharat Singh Kuntal"/>
    <n v="1772"/>
    <s v="Mayur Luhadia"/>
    <x v="3"/>
    <s v="Devi Lal Yadav"/>
    <s v="Done"/>
    <d v="2024-08-02T00:00:00"/>
    <m/>
    <x v="2"/>
    <n v="600000"/>
    <d v="2024-08-06T00:00:00"/>
    <n v="300000"/>
    <d v="2024-08-06T00:00:00"/>
    <s v="Aug"/>
    <d v="2024-08-02T00:00:00"/>
    <d v="2024-08-03T00:00:00"/>
    <s v="Received"/>
    <m/>
    <m/>
  </r>
  <r>
    <n v="17"/>
    <n v="9636"/>
    <d v="2024-08-01T00:00:00"/>
    <s v="Aug"/>
    <s v="Chomu"/>
    <s v="DINESH CHANDRA GURJAR"/>
    <n v="1876"/>
    <s v="Gopal Saini"/>
    <s v="Gourishankar Kumawat"/>
    <n v="1635"/>
    <s v="Vijay Yadav"/>
    <n v="1463"/>
    <s v="Mayur Luhadia"/>
    <x v="0"/>
    <s v="Rahul Samariya"/>
    <s v="Done"/>
    <d v="2024-08-03T00:00:00"/>
    <m/>
    <x v="1"/>
    <n v="990000"/>
    <m/>
    <m/>
    <m/>
    <s v=""/>
    <d v="2024-08-03T00:00:00"/>
    <d v="2024-08-06T00:00:00"/>
    <s v="Received"/>
    <m/>
    <m/>
  </r>
  <r>
    <n v="18"/>
    <n v="9662"/>
    <d v="2024-08-01T00:00:00"/>
    <s v="Aug"/>
    <s v="Nohar"/>
    <s v="JAGDISHPRASAD"/>
    <n v="3377"/>
    <s v="Sunil Kumar"/>
    <s v="Ram Pratap Rathi"/>
    <n v="3134"/>
    <s v="Gurdeep Singh"/>
    <n v="3256"/>
    <s v="Mayur Luhadia"/>
    <x v="4"/>
    <s v="Sandeep Kumar"/>
    <s v="Done"/>
    <d v="2024-08-03T00:00:00"/>
    <m/>
    <x v="0"/>
    <n v="800000"/>
    <d v="2024-08-06T00:00:00"/>
    <m/>
    <m/>
    <s v=""/>
    <m/>
    <m/>
    <s v=""/>
    <m/>
    <m/>
  </r>
  <r>
    <n v="19"/>
    <n v="9660"/>
    <d v="2024-08-02T00:00:00"/>
    <s v="Aug"/>
    <s v="Anupgarh"/>
    <s v="Mahaveer"/>
    <n v="3184"/>
    <s v="Vinod Kumar"/>
    <s v="Lovepreet Singh"/>
    <n v="3175"/>
    <s v="Gurdeep Singh"/>
    <n v="3256"/>
    <s v="Mayur Luhadia"/>
    <x v="4"/>
    <s v="Keval Singh"/>
    <s v="Done"/>
    <d v="2024-08-06T00:00:00"/>
    <m/>
    <x v="0"/>
    <n v="600000"/>
    <d v="2024-08-06T00:00:00"/>
    <m/>
    <m/>
    <s v=""/>
    <m/>
    <m/>
    <s v=""/>
    <m/>
    <m/>
  </r>
  <r>
    <n v="20"/>
    <n v="9322"/>
    <d v="2024-08-02T00:00:00"/>
    <s v="Aug"/>
    <s v="ShriMadhopur"/>
    <s v="VINOD YADAV"/>
    <n v="1821"/>
    <s v="Dinesh Kumar"/>
    <s v="Bharat Singh Kuntal"/>
    <n v="1772"/>
    <s v="Bharat Singh Kuntal"/>
    <n v="1772"/>
    <s v="Mayur Luhadia"/>
    <x v="3"/>
    <m/>
    <s v=""/>
    <m/>
    <s v="Customer not available for next 3-4 days"/>
    <x v="3"/>
    <n v="400000"/>
    <m/>
    <m/>
    <m/>
    <s v=""/>
    <m/>
    <m/>
    <s v=""/>
    <m/>
    <m/>
  </r>
  <r>
    <n v="21"/>
    <n v="9694"/>
    <d v="2024-08-03T00:00:00"/>
    <s v="Aug"/>
    <s v="Anupgarh"/>
    <s v="MALKIT SINGH"/>
    <n v="3309"/>
    <s v="Baksheesh Singh"/>
    <s v="Lovepreet Singh"/>
    <n v="3175"/>
    <s v="Gurdeep Singh"/>
    <n v="3256"/>
    <s v="Mayur Luhadia"/>
    <x v="4"/>
    <s v="Keval Singh"/>
    <s v="Done"/>
    <d v="2024-08-06T00:00:00"/>
    <m/>
    <x v="4"/>
    <n v="550000"/>
    <m/>
    <m/>
    <m/>
    <s v=""/>
    <d v="2024-08-07T00:00:00"/>
    <d v="2024-08-07T00:00:00"/>
    <s v="Received"/>
    <m/>
    <m/>
  </r>
  <r>
    <n v="22"/>
    <n v="9649"/>
    <d v="2024-08-03T00:00:00"/>
    <s v="Aug"/>
    <s v="Dhar"/>
    <s v="AMAR SINGH DODVA"/>
    <n v="3403"/>
    <s v="Vishal Patidar"/>
    <s v="Sawan Parmar"/>
    <n v="3265"/>
    <s v="Ankur Khole"/>
    <n v="3052"/>
    <s v="Ranjan Somani"/>
    <x v="1"/>
    <s v="Mahendra Patel"/>
    <s v="Done"/>
    <d v="2024-08-06T00:00:00"/>
    <m/>
    <x v="1"/>
    <n v="800000"/>
    <m/>
    <m/>
    <m/>
    <s v=""/>
    <d v="2024-08-06T00:00:00"/>
    <d v="2024-08-08T00:00:00"/>
    <s v="Received"/>
    <m/>
    <m/>
  </r>
  <r>
    <n v="23"/>
    <n v="9685"/>
    <d v="2024-08-03T00:00:00"/>
    <s v="Aug"/>
    <s v="Laxmangarh"/>
    <s v="RAJKUMAR"/>
    <n v="3448"/>
    <s v="Rakesh"/>
    <s v="Narendra Singh"/>
    <n v="3385"/>
    <s v="Bharat Singh Kuntal"/>
    <n v="1772"/>
    <s v="Mayur Luhadia"/>
    <x v="3"/>
    <s v="Amit Kumar"/>
    <s v="Done"/>
    <d v="2024-08-06T00:00:00"/>
    <m/>
    <x v="0"/>
    <n v="500000"/>
    <d v="2024-08-06T00:00:00"/>
    <m/>
    <m/>
    <s v=""/>
    <m/>
    <m/>
    <s v=""/>
    <m/>
    <m/>
  </r>
  <r>
    <n v="24"/>
    <n v="9659"/>
    <d v="2024-08-03T00:00:00"/>
    <s v="Aug"/>
    <s v="Sadulpur"/>
    <s v="VIJAY KUMAR"/>
    <n v="1985"/>
    <s v="Sonu Kumar"/>
    <s v="Babu Lal"/>
    <n v="1983"/>
    <s v="Santosh Kumar"/>
    <n v="1447"/>
    <s v="Mayur Luhadia"/>
    <x v="3"/>
    <s v="Manoj Kumar Sharma"/>
    <s v="Done"/>
    <d v="2024-08-07T00:00:00"/>
    <s v="Banking pending"/>
    <x v="3"/>
    <n v="600000"/>
    <m/>
    <m/>
    <m/>
    <s v=""/>
    <m/>
    <m/>
    <s v=""/>
    <m/>
    <m/>
  </r>
  <r>
    <n v="25"/>
    <n v="9639"/>
    <d v="2024-08-03T00:00:00"/>
    <s v="Aug"/>
    <s v="Udaipur"/>
    <s v="MANGI LAL LOHAR"/>
    <n v="3423"/>
    <s v="Rajdeep Singh"/>
    <s v="Rajdeep Singh"/>
    <n v="3423"/>
    <s v="Bhilwara Cluster"/>
    <s v="Bhilwara Cluster"/>
    <s v="Pawan Khandelwal"/>
    <x v="3"/>
    <s v="Sonu Singh"/>
    <s v="Done"/>
    <d v="2024-08-07T00:00:00"/>
    <m/>
    <x v="4"/>
    <n v="500000"/>
    <m/>
    <m/>
    <m/>
    <s v=""/>
    <m/>
    <m/>
    <s v=""/>
    <m/>
    <m/>
  </r>
  <r>
    <n v="26"/>
    <n v="9626"/>
    <d v="2024-08-03T00:00:00"/>
    <s v="Aug"/>
    <s v="Nokha"/>
    <s v="DEVA RAM"/>
    <n v="3464"/>
    <s v="Kailash Panchariya"/>
    <s v="Vikram Bishnoi"/>
    <n v="3180"/>
    <s v="Gajanand Purohit"/>
    <n v="1596"/>
    <s v="Mayur Luhadia"/>
    <x v="6"/>
    <s v="Akash Gujrati"/>
    <s v="Done"/>
    <d v="2024-08-06T00:00:00"/>
    <m/>
    <x v="0"/>
    <n v="500000"/>
    <d v="2024-08-07T00:00:00"/>
    <m/>
    <m/>
    <s v=""/>
    <m/>
    <m/>
    <s v=""/>
    <m/>
    <m/>
  </r>
  <r>
    <n v="27"/>
    <n v="9614"/>
    <d v="2024-08-03T00:00:00"/>
    <s v="Aug"/>
    <s v="Khargone"/>
    <s v="SANTOSH PACHAVE"/>
    <n v="3450"/>
    <s v="Surendra Pawar"/>
    <s v="Pawan Yadav"/>
    <n v="3373"/>
    <s v="Ankur Khole"/>
    <n v="3052"/>
    <s v="Ranjan Somani"/>
    <x v="1"/>
    <s v="Rahul Gogle"/>
    <s v="Done"/>
    <d v="2024-08-06T00:00:00"/>
    <m/>
    <x v="0"/>
    <n v="450000"/>
    <d v="2024-08-06T00:00:00"/>
    <m/>
    <m/>
    <s v=""/>
    <m/>
    <m/>
    <s v=""/>
    <m/>
    <m/>
  </r>
  <r>
    <n v="28"/>
    <n v="9680"/>
    <d v="2024-08-03T00:00:00"/>
    <s v="Aug"/>
    <s v="Jaipur"/>
    <s v="LAXMAN SINGH"/>
    <n v="3469"/>
    <s v="Satish Kumar Sharma"/>
    <s v="Heera Lal Meena"/>
    <n v="3457"/>
    <s v="Saurabh Sharma"/>
    <n v="1766"/>
    <s v="Pawan Khandelwal"/>
    <x v="6"/>
    <s v="Mayank Purohit"/>
    <s v="Done"/>
    <d v="2024-08-07T00:00:00"/>
    <m/>
    <x v="0"/>
    <n v="500000"/>
    <d v="2024-08-07T00:00:00"/>
    <m/>
    <m/>
    <s v=""/>
    <m/>
    <m/>
    <s v=""/>
    <m/>
    <m/>
  </r>
  <r>
    <n v="29"/>
    <n v="9691"/>
    <d v="2024-08-03T00:00:00"/>
    <s v="Aug"/>
    <s v="Govindpura"/>
    <s v="MOHIT CHOUDHARY"/>
    <n v="1451"/>
    <s v="Sunil Saini"/>
    <s v="Deepak Vajpayee"/>
    <n v="1358"/>
    <s v="Vijay Yadav"/>
    <n v="1463"/>
    <s v="Mayur Luhadia"/>
    <x v="0"/>
    <s v="Ravi Sankhi"/>
    <s v="Done"/>
    <d v="2024-08-06T00:00:00"/>
    <m/>
    <x v="1"/>
    <n v="700000"/>
    <m/>
    <m/>
    <m/>
    <s v=""/>
    <m/>
    <m/>
    <s v=""/>
    <m/>
    <m/>
  </r>
  <r>
    <n v="30"/>
    <n v="9632"/>
    <d v="2024-08-03T00:00:00"/>
    <s v="Aug"/>
    <s v="Reengus"/>
    <s v="VIKRAM DOON"/>
    <n v="3406"/>
    <s v="Amit Kumawat"/>
    <s v="Sandeep Kumar Jat"/>
    <n v="3388"/>
    <s v="Bharat Singh Kuntal"/>
    <n v="1772"/>
    <s v="Mayur Luhadia"/>
    <x v="3"/>
    <s v="Rahul Samariya"/>
    <s v="Done"/>
    <d v="2024-08-07T00:00:00"/>
    <m/>
    <x v="0"/>
    <n v="600000"/>
    <d v="2024-08-08T00:00:00"/>
    <m/>
    <m/>
    <s v=""/>
    <m/>
    <m/>
    <s v=""/>
    <m/>
    <m/>
  </r>
  <r>
    <n v="31"/>
    <n v="9682"/>
    <d v="2024-08-03T00:00:00"/>
    <s v="Aug"/>
    <s v="SURATGARH"/>
    <s v="SAHAB RAM"/>
    <n v="3452"/>
    <s v="Chander Bhan"/>
    <s v="Bhagirath"/>
    <n v="3145"/>
    <s v="Gurdeep Singh"/>
    <n v="3256"/>
    <s v="Mayur Luhadia"/>
    <x v="4"/>
    <s v="Keval Singh"/>
    <s v="Done"/>
    <d v="2024-08-08T00:00:00"/>
    <s v="SOA pending from Au bank and SK finance"/>
    <x v="3"/>
    <n v="800000"/>
    <m/>
    <m/>
    <m/>
    <s v=""/>
    <m/>
    <m/>
    <s v=""/>
    <m/>
    <m/>
  </r>
  <r>
    <n v="32"/>
    <n v="9679"/>
    <d v="2024-08-03T00:00:00"/>
    <s v="Aug"/>
    <s v="Sanawad"/>
    <s v="DEEPAK NAYAK"/>
    <n v="3460"/>
    <s v="Rahul Manddloi"/>
    <s v="Nitesh"/>
    <n v="3286"/>
    <s v="Ankur Khole"/>
    <n v="3052"/>
    <s v="Ranjan Somani"/>
    <x v="1"/>
    <s v="Rahul Gogle"/>
    <s v="Done"/>
    <d v="2024-08-07T00:00:00"/>
    <m/>
    <x v="4"/>
    <n v="400000"/>
    <m/>
    <m/>
    <m/>
    <s v=""/>
    <d v="2024-08-07T00:00:00"/>
    <m/>
    <s v="Pending"/>
    <m/>
    <m/>
  </r>
  <r>
    <n v="33"/>
    <n v="9149"/>
    <d v="2024-08-03T00:00:00"/>
    <s v="Aug"/>
    <s v="Shahpura Bhilwara"/>
    <s v="PRMESHWER GURJAR"/>
    <n v="3407"/>
    <s v="Ajay Choudhary"/>
    <s v="Rajveer Singh Saktawat"/>
    <n v="3384"/>
    <s v="Bhilwara Cluster"/>
    <s v="Bhilwara Cluster"/>
    <s v="Pawan Khandelwal"/>
    <x v="3"/>
    <s v="Darshan Kumar Bairwa"/>
    <s v="Done"/>
    <d v="2024-08-07T00:00:00"/>
    <m/>
    <x v="0"/>
    <n v="600000"/>
    <d v="2024-08-07T00:00:00"/>
    <m/>
    <m/>
    <s v=""/>
    <m/>
    <m/>
    <s v=""/>
    <m/>
    <m/>
  </r>
  <r>
    <n v="34"/>
    <n v="8755"/>
    <d v="2024-08-03T00:00:00"/>
    <s v="Aug"/>
    <s v="Chomu"/>
    <s v="MAHENDRA SINGH GHOSLYA"/>
    <n v="1698"/>
    <s v="Mohan Lal Kumawat"/>
    <s v="Gourishankar Kumawat"/>
    <n v="1635"/>
    <s v="Vijay Yadav"/>
    <n v="1463"/>
    <s v="Mayur Luhadia"/>
    <x v="0"/>
    <s v="Rahul Samariya"/>
    <s v="Done"/>
    <d v="2024-08-07T00:00:00"/>
    <m/>
    <x v="0"/>
    <n v="600000"/>
    <d v="2024-08-07T00:00:00"/>
    <m/>
    <m/>
    <s v=""/>
    <m/>
    <m/>
    <s v=""/>
    <m/>
    <m/>
  </r>
  <r>
    <n v="35"/>
    <n v="9674"/>
    <d v="2024-08-06T00:00:00"/>
    <s v="Aug"/>
    <s v="Laxmangarh"/>
    <s v="HARDEVA RAM"/>
    <n v="3448"/>
    <s v="Rakesh"/>
    <s v="Narendra Singh"/>
    <n v="3385"/>
    <s v="Bharat Singh Kuntal"/>
    <n v="1772"/>
    <s v="Mayur Luhadia"/>
    <x v="3"/>
    <s v="Sunil Bagoria"/>
    <s v="Done"/>
    <d v="2024-08-08T00:00:00"/>
    <s v="Salary credit banking req"/>
    <x v="3"/>
    <n v="800000"/>
    <m/>
    <m/>
    <m/>
    <s v=""/>
    <m/>
    <m/>
    <s v=""/>
    <m/>
    <m/>
  </r>
  <r>
    <n v="36"/>
    <n v="9686"/>
    <d v="2024-08-06T00:00:00"/>
    <s v="Aug"/>
    <s v="Ujjain"/>
    <s v="KRISHN MURARI"/>
    <n v="3405"/>
    <s v="Sunil Yadav"/>
    <s v="Anil Solanki"/>
    <n v="3189"/>
    <s v="Ankur Khole"/>
    <n v="3052"/>
    <s v="Ranjan Somani"/>
    <x v="1"/>
    <s v="Sandeep Thakur"/>
    <s v="Done"/>
    <d v="2024-08-08T00:00:00"/>
    <m/>
    <x v="4"/>
    <n v="350000"/>
    <m/>
    <m/>
    <m/>
    <s v=""/>
    <m/>
    <m/>
    <s v=""/>
    <m/>
    <m/>
  </r>
  <r>
    <n v="37"/>
    <n v="9711"/>
    <d v="2024-08-06T00:00:00"/>
    <s v="Aug"/>
    <s v="Govindpura"/>
    <s v="RUPNARAYAN"/>
    <n v="3051"/>
    <s v="Vikas Verma"/>
    <s v="Ratinder Singh"/>
    <n v="1439"/>
    <s v="Vijay Yadav"/>
    <n v="1463"/>
    <s v="Mayur Luhadia"/>
    <x v="0"/>
    <s v="Ravi Sankhi"/>
    <s v="Done"/>
    <d v="2024-08-08T00:00:00"/>
    <m/>
    <x v="4"/>
    <n v="600000"/>
    <m/>
    <m/>
    <m/>
    <s v=""/>
    <m/>
    <m/>
    <s v=""/>
    <m/>
    <m/>
  </r>
  <r>
    <n v="38"/>
    <n v="9690"/>
    <d v="2024-08-06T00:00:00"/>
    <s v="Aug"/>
    <s v="Chomu"/>
    <s v="RAKESH KUMAR JALUTHARIA"/>
    <n v="1698"/>
    <s v="Mohan Lal Kumawat"/>
    <s v="Gourishankar Kumawat"/>
    <n v="1635"/>
    <s v="Vijay Yadav"/>
    <n v="1463"/>
    <s v="Mayur Luhadia"/>
    <x v="0"/>
    <s v="Rahul Samariya"/>
    <s v="Done"/>
    <d v="2024-08-06T00:00:00"/>
    <m/>
    <x v="2"/>
    <n v="990000"/>
    <d v="2024-08-07T00:00:00"/>
    <n v="500000"/>
    <d v="2024-08-07T00:00:00"/>
    <s v="Aug"/>
    <m/>
    <m/>
    <s v=""/>
    <m/>
    <m/>
  </r>
  <r>
    <n v="39"/>
    <n v="9705"/>
    <d v="2024-08-06T00:00:00"/>
    <s v="Aug"/>
    <s v="Jaipur"/>
    <s v="PAPPU"/>
    <n v="3458"/>
    <s v="Ram Kishor Meena"/>
    <s v="Heera Lal Meena"/>
    <n v="3457"/>
    <s v="Saurabh Sharma"/>
    <n v="1766"/>
    <s v="Pawan Khandelwal"/>
    <x v="6"/>
    <s v="Kamlesh Sharma ( Bcm )"/>
    <s v="Done"/>
    <d v="2024-08-07T00:00:00"/>
    <s v="Document pending"/>
    <x v="3"/>
    <n v="800000"/>
    <m/>
    <m/>
    <m/>
    <s v=""/>
    <d v="2024-08-07T00:00:00"/>
    <d v="2024-08-08T00:00:00"/>
    <s v="Received"/>
    <m/>
    <m/>
  </r>
  <r>
    <n v="40"/>
    <n v="9706"/>
    <d v="2024-08-06T00:00:00"/>
    <s v="Aug"/>
    <s v="Agar Malwa"/>
    <s v="RADHA BAI NIL"/>
    <n v="3300"/>
    <s v="Dilip Singh"/>
    <s v="Ramprasad Barothiya"/>
    <n v="3258"/>
    <s v="TBI (Ratlam)"/>
    <s v="TBI (Ratlam)"/>
    <s v="Ranjan Somani"/>
    <x v="1"/>
    <s v="Sandeep Thakur"/>
    <s v="Done"/>
    <d v="2024-08-07T00:00:00"/>
    <s v="salary account stmt pending"/>
    <x v="3"/>
    <n v="600000"/>
    <m/>
    <m/>
    <m/>
    <s v=""/>
    <d v="2024-08-07T00:00:00"/>
    <d v="2024-08-08T00:00:00"/>
    <s v="Received"/>
    <m/>
    <m/>
  </r>
  <r>
    <n v="41"/>
    <n v="9729"/>
    <d v="2024-08-06T00:00:00"/>
    <s v="Aug"/>
    <s v="Indore"/>
    <s v="SUNIL"/>
    <n v="3190"/>
    <s v="Rishi Kumar Sisodiya"/>
    <s v="Ankur Khole"/>
    <n v="3052"/>
    <s v="Ankur Khole"/>
    <n v="3052"/>
    <s v="Ranjan Somani"/>
    <x v="1"/>
    <s v="Nirmal Patidar"/>
    <s v="Done"/>
    <d v="2024-08-08T00:00:00"/>
    <m/>
    <x v="4"/>
    <n v="800000"/>
    <m/>
    <m/>
    <m/>
    <s v=""/>
    <m/>
    <m/>
    <s v=""/>
    <m/>
    <m/>
  </r>
  <r>
    <n v="42"/>
    <n v="9692"/>
    <d v="2024-08-06T00:00:00"/>
    <s v="Aug"/>
    <s v="Sanawad"/>
    <s v="RAVINDRA"/>
    <n v="3317"/>
    <s v="Gopichand Mujhalde"/>
    <s v="Nitesh"/>
    <n v="3286"/>
    <s v="Ankur Khole"/>
    <n v="3052"/>
    <s v="Ranjan Somani"/>
    <x v="1"/>
    <s v="Rahul Gogle"/>
    <s v="Done"/>
    <d v="2024-08-07T00:00:00"/>
    <m/>
    <x v="0"/>
    <n v="500000"/>
    <d v="2024-08-07T00:00:00"/>
    <m/>
    <m/>
    <s v=""/>
    <m/>
    <m/>
    <s v=""/>
    <m/>
    <m/>
  </r>
  <r>
    <n v="43"/>
    <n v="9698"/>
    <d v="2024-08-06T00:00:00"/>
    <s v="Aug"/>
    <s v="Taranagar"/>
    <s v="PREM CHAND"/>
    <n v="3325"/>
    <s v="Vikas Kumar"/>
    <s v="Vikash kumar"/>
    <n v="3237"/>
    <s v="Santosh Kumar"/>
    <n v="1447"/>
    <s v="Mayur Luhadia"/>
    <x v="3"/>
    <s v="Manoj Kumar Sharma"/>
    <s v="Done"/>
    <d v="2024-08-08T00:00:00"/>
    <m/>
    <x v="0"/>
    <n v="700000"/>
    <d v="2024-08-08T00:00:00"/>
    <m/>
    <m/>
    <s v=""/>
    <m/>
    <m/>
    <s v=""/>
    <m/>
    <m/>
  </r>
  <r>
    <n v="44"/>
    <n v="9696"/>
    <d v="2024-08-06T00:00:00"/>
    <s v="Aug"/>
    <s v="Nohar"/>
    <s v="SUBHASH CHANDER"/>
    <n v="3348"/>
    <s v="Amandeep Singh"/>
    <s v="Ram Pratap Rathi"/>
    <n v="3134"/>
    <s v="Gurdeep Singh"/>
    <n v="3256"/>
    <s v="Mayur Luhadia"/>
    <x v="4"/>
    <s v="Sandeep Kumar"/>
    <s v="Done"/>
    <d v="2024-08-08T00:00:00"/>
    <s v="Banking pending and need to add narender as co -applicant"/>
    <x v="3"/>
    <n v="900000"/>
    <m/>
    <m/>
    <m/>
    <s v=""/>
    <m/>
    <m/>
    <s v=""/>
    <m/>
    <m/>
  </r>
  <r>
    <n v="45"/>
    <n v="9689"/>
    <d v="2024-08-06T00:00:00"/>
    <s v="Aug"/>
    <s v="Jobner"/>
    <s v="ROSHAN LAL VARMA"/>
    <n v="1691"/>
    <s v="Dharmveer Choudhary"/>
    <s v="Ram Niwas Jat"/>
    <n v="1519"/>
    <s v="Vijay Yadav"/>
    <n v="1463"/>
    <s v="Mayur Luhadia"/>
    <x v="0"/>
    <s v="Narendra Gurjar"/>
    <s v="Done"/>
    <d v="2024-08-07T00:00:00"/>
    <m/>
    <x v="4"/>
    <n v="600000"/>
    <m/>
    <m/>
    <m/>
    <s v=""/>
    <m/>
    <m/>
    <s v=""/>
    <m/>
    <m/>
  </r>
  <r>
    <n v="46"/>
    <n v="9644"/>
    <d v="2024-08-06T00:00:00"/>
    <s v="Aug"/>
    <s v="Govindpura"/>
    <s v="MUKESH PRAJAPAT"/>
    <n v="3334"/>
    <s v="Shiv Kumar Meena"/>
    <s v="Ratinder Singh"/>
    <n v="1439"/>
    <s v="Vijay Yadav"/>
    <n v="1463"/>
    <s v="Mayur Luhadia"/>
    <x v="0"/>
    <s v="Narendra Gurjar"/>
    <s v="Done"/>
    <d v="2024-08-07T00:00:00"/>
    <m/>
    <x v="1"/>
    <n v="700000"/>
    <m/>
    <m/>
    <m/>
    <s v=""/>
    <m/>
    <m/>
    <s v=""/>
    <m/>
    <m/>
  </r>
  <r>
    <n v="47"/>
    <n v="9654"/>
    <d v="2024-08-06T00:00:00"/>
    <s v="Aug"/>
    <s v="Shri Dungargarh"/>
    <s v="BALURAM"/>
    <n v="3151"/>
    <s v="Prem Chand"/>
    <s v="Anupam Delu"/>
    <n v="3392"/>
    <s v="Gajanand Purohit"/>
    <n v="1596"/>
    <s v="Mayur Luhadia"/>
    <x v="6"/>
    <s v="Jai Singh Rajvi"/>
    <s v="Done"/>
    <d v="2024-08-07T00:00:00"/>
    <m/>
    <x v="1"/>
    <n v="500000"/>
    <m/>
    <m/>
    <m/>
    <s v=""/>
    <m/>
    <m/>
    <s v=""/>
    <m/>
    <m/>
  </r>
  <r>
    <n v="48"/>
    <n v="9096"/>
    <d v="2024-08-06T00:00:00"/>
    <s v="Aug"/>
    <s v="Sumerpur"/>
    <s v="SOHANLAL"/>
    <n v="3391"/>
    <s v="Bharat Kumar"/>
    <s v="Suresh Kumar"/>
    <n v="3235"/>
    <s v="Tarun Jain"/>
    <n v="3490"/>
    <s v="Mayur Luhadia"/>
    <x v="3"/>
    <s v="Saurabh Sahu"/>
    <s v="Done"/>
    <d v="2024-08-08T00:00:00"/>
    <m/>
    <x v="0"/>
    <n v="300000"/>
    <d v="2024-08-08T00:00:00"/>
    <m/>
    <m/>
    <s v=""/>
    <m/>
    <m/>
    <s v=""/>
    <m/>
    <m/>
  </r>
  <r>
    <n v="49"/>
    <n v="9627"/>
    <d v="2024-08-06T00:00:00"/>
    <s v="Aug"/>
    <s v="Nokha"/>
    <s v="VASUDEV"/>
    <n v="3459"/>
    <s v="Kisana Ram Meghwal"/>
    <s v="Vikram Bishnoi"/>
    <n v="3180"/>
    <s v="Gajanand Purohit"/>
    <n v="1596"/>
    <s v="Mayur Luhadia"/>
    <x v="6"/>
    <s v="Akash Gujrati"/>
    <s v="Done"/>
    <d v="2024-08-08T00:00:00"/>
    <m/>
    <x v="4"/>
    <n v="450000"/>
    <m/>
    <m/>
    <m/>
    <s v=""/>
    <m/>
    <m/>
    <s v=""/>
    <m/>
    <m/>
  </r>
  <r>
    <n v="50"/>
    <n v="9633"/>
    <d v="2024-08-06T00:00:00"/>
    <s v="Aug"/>
    <s v="ShriMadhopur"/>
    <s v="SULTAN BARALA"/>
    <n v="3131"/>
    <s v="Dinesh Kumar Sharma"/>
    <s v="Bharat Singh Kuntal"/>
    <n v="1772"/>
    <s v="Bharat Singh Kuntal"/>
    <n v="1772"/>
    <s v="Mayur Luhadia"/>
    <x v="3"/>
    <s v="Devi Lal Yadav"/>
    <s v="Done"/>
    <d v="2024-08-07T00:00:00"/>
    <m/>
    <x v="0"/>
    <n v="500000"/>
    <d v="2024-08-07T00:00:00"/>
    <m/>
    <m/>
    <s v=""/>
    <m/>
    <m/>
    <s v=""/>
    <m/>
    <m/>
  </r>
  <r>
    <n v="51"/>
    <n v="9434"/>
    <d v="2024-08-06T00:00:00"/>
    <s v="Aug"/>
    <s v="Indore"/>
    <s v="LAXMAN"/>
    <n v="3190"/>
    <s v="Rishi Kumar Sisodiya"/>
    <s v="Ankur Khole"/>
    <n v="3052"/>
    <s v="Ankur Khole"/>
    <n v="3052"/>
    <s v="Ranjan Somani"/>
    <x v="1"/>
    <s v="Nirmal Patidar"/>
    <s v="Done"/>
    <d v="2024-08-08T00:00:00"/>
    <m/>
    <x v="4"/>
    <n v="600000"/>
    <m/>
    <m/>
    <m/>
    <s v=""/>
    <m/>
    <m/>
    <s v=""/>
    <m/>
    <m/>
  </r>
  <r>
    <n v="52"/>
    <n v="9579"/>
    <d v="2024-08-06T00:00:00"/>
    <s v="Aug"/>
    <s v="Govindpura"/>
    <s v="MOTILAL"/>
    <n v="1394"/>
    <s v="Vikram Singh Shekhawat"/>
    <s v="Deepak Vajpayee"/>
    <n v="1358"/>
    <s v="Vijay Yadav"/>
    <n v="1463"/>
    <s v="Mayur Luhadia"/>
    <x v="0"/>
    <s v="Ravi Sankhi"/>
    <s v="Done"/>
    <d v="2024-08-08T00:00:00"/>
    <m/>
    <x v="1"/>
    <n v="900000"/>
    <m/>
    <m/>
    <m/>
    <s v=""/>
    <m/>
    <m/>
    <s v=""/>
    <m/>
    <m/>
  </r>
  <r>
    <n v="53"/>
    <n v="9719"/>
    <d v="2024-08-06T00:00:00"/>
    <s v="Aug"/>
    <s v="Bagru"/>
    <s v="RAHUL KUMAR GURJAR"/>
    <n v="3196"/>
    <s v="Krishan Kumar Choudhary"/>
    <s v="Rahul Choudhary"/>
    <n v="3183"/>
    <s v="Kamlesh Sharma"/>
    <n v="1140"/>
    <s v="Pawan Khandelwal"/>
    <x v="5"/>
    <s v="Rishabh Bohra"/>
    <s v="Done"/>
    <d v="2024-08-07T00:00:00"/>
    <m/>
    <x v="1"/>
    <n v="990000"/>
    <m/>
    <m/>
    <m/>
    <s v=""/>
    <d v="2024-08-07T00:00:00"/>
    <d v="2024-08-07T00:00:00"/>
    <s v="Received"/>
    <m/>
    <m/>
  </r>
  <r>
    <n v="54"/>
    <n v="9672"/>
    <d v="2024-08-06T00:00:00"/>
    <s v="Aug"/>
    <s v="RatanGarh"/>
    <s v="SHISHUPAL"/>
    <n v="1764"/>
    <s v="Birbal Ram"/>
    <s v="Nemichand Nain"/>
    <n v="1762"/>
    <s v="Santosh Kumar"/>
    <n v="1447"/>
    <s v="Mayur Luhadia"/>
    <x v="3"/>
    <s v="Amit Kumar"/>
    <s v="Done"/>
    <d v="2024-08-08T00:00:00"/>
    <m/>
    <x v="0"/>
    <n v="700000"/>
    <d v="2024-08-08T00:00:00"/>
    <m/>
    <m/>
    <s v=""/>
    <m/>
    <m/>
    <s v=""/>
    <m/>
    <m/>
  </r>
  <r>
    <n v="55"/>
    <n v="9731"/>
    <d v="2024-08-06T00:00:00"/>
    <s v="Aug"/>
    <s v="Jaipur"/>
    <s v="ROHIT SANWARIYA"/>
    <n v="3484"/>
    <s v="Rakesh Kumar Meena"/>
    <s v="Ajay Nayak"/>
    <n v="1930"/>
    <s v="Saurabh Sharma"/>
    <n v="1766"/>
    <s v="Pawan Khandelwal"/>
    <x v="6"/>
    <s v="Mayank Purohit"/>
    <s v="Done"/>
    <d v="2024-08-07T00:00:00"/>
    <m/>
    <x v="1"/>
    <n v="990000"/>
    <m/>
    <m/>
    <m/>
    <s v=""/>
    <m/>
    <m/>
    <s v=""/>
    <m/>
    <m/>
  </r>
  <r>
    <n v="56"/>
    <n v="9634"/>
    <d v="2024-08-06T00:00:00"/>
    <s v="Aug"/>
    <s v="DHAMNOD"/>
    <s v="JITENDRA"/>
    <n v="3274"/>
    <s v="Jaydeep Patel"/>
    <s v="Girish Jadav"/>
    <n v="3295"/>
    <s v="Ankur Khole"/>
    <n v="3052"/>
    <s v="Ranjan Somani"/>
    <x v="1"/>
    <s v="Mahendra Patel"/>
    <s v="Done"/>
    <d v="2024-08-08T00:00:00"/>
    <m/>
    <x v="4"/>
    <n v="500000"/>
    <m/>
    <m/>
    <m/>
    <s v=""/>
    <m/>
    <m/>
    <s v=""/>
    <m/>
    <m/>
  </r>
  <r>
    <n v="57"/>
    <n v="9737"/>
    <d v="2024-08-06T00:00:00"/>
    <s v="Aug"/>
    <s v="SURATGARH"/>
    <s v="VIKRAM"/>
    <n v="3452"/>
    <s v="Chander Bhan"/>
    <s v="Bhagirath"/>
    <n v="3145"/>
    <s v="Gurdeep Singh"/>
    <n v="3256"/>
    <s v="Mayur Luhadia"/>
    <x v="4"/>
    <s v="Keval Singh"/>
    <s v="Done"/>
    <d v="2024-08-08T00:00:00"/>
    <m/>
    <x v="4"/>
    <n v="600000"/>
    <m/>
    <m/>
    <m/>
    <s v=""/>
    <m/>
    <m/>
    <s v=""/>
    <m/>
    <m/>
  </r>
  <r>
    <n v="58"/>
    <n v="9521"/>
    <d v="2024-08-06T00:00:00"/>
    <s v="Aug"/>
    <s v="Bassi"/>
    <s v="HANUMAN PRASAD GURJAR"/>
    <n v="3111"/>
    <s v="Mukesh Saini"/>
    <s v="TBI (Bassi)"/>
    <s v="TBI (Bassi)"/>
    <s v="Saurabh Sharma"/>
    <n v="1766"/>
    <s v="Pawan Khandelwal"/>
    <x v="6"/>
    <s v="Kamlesh Sharma ( Bcm )"/>
    <s v="Done"/>
    <d v="2024-08-08T00:00:00"/>
    <m/>
    <x v="4"/>
    <n v="950000"/>
    <m/>
    <m/>
    <m/>
    <s v=""/>
    <m/>
    <m/>
    <s v=""/>
    <m/>
    <m/>
  </r>
  <r>
    <n v="59"/>
    <n v="9598"/>
    <d v="2024-08-06T00:00:00"/>
    <s v="Aug"/>
    <s v="Sadulpur"/>
    <s v="SACHIN"/>
    <n v="3471"/>
    <s v="Ravi Kumar"/>
    <s v="Babu Lal"/>
    <n v="1983"/>
    <s v="Santosh Kumar"/>
    <n v="1447"/>
    <s v="Mayur Luhadia"/>
    <x v="3"/>
    <s v="Manoj Kumar Sharma"/>
    <s v="Done"/>
    <d v="2024-08-07T00:00:00"/>
    <s v="Banking pending salaried person"/>
    <x v="3"/>
    <n v="700000"/>
    <m/>
    <m/>
    <m/>
    <s v=""/>
    <m/>
    <m/>
    <s v=""/>
    <m/>
    <m/>
  </r>
  <r>
    <n v="60"/>
    <n v="9612"/>
    <d v="2024-08-06T00:00:00"/>
    <s v="Aug"/>
    <s v="Jaipur"/>
    <s v="GHANSHYAM SHARMA"/>
    <n v="3076"/>
    <s v="Saligram Gurjar"/>
    <s v="Sanjay Singh Shekhawat"/>
    <n v="3072"/>
    <s v="Saurabh Sharma"/>
    <n v="1766"/>
    <s v="Pawan Khandelwal"/>
    <x v="6"/>
    <s v="Mohan Kumawat"/>
    <s v="Done"/>
    <d v="2024-08-07T00:00:00"/>
    <s v="SOA pending"/>
    <x v="3"/>
    <n v="900000"/>
    <m/>
    <m/>
    <m/>
    <s v=""/>
    <m/>
    <m/>
    <s v=""/>
    <m/>
    <m/>
  </r>
  <r>
    <n v="61"/>
    <n v="9668"/>
    <d v="2024-08-07T00:00:00"/>
    <s v="Aug"/>
    <s v="Mandsaur"/>
    <s v="PRADIP MALVIYA"/>
    <n v="2007"/>
    <s v="Mukesh Kumar Chouhan"/>
    <s v="Devendra Chouhan"/>
    <n v="2002"/>
    <s v="TBI (Ratlam)"/>
    <s v="TBI (Ratlam)"/>
    <s v="Ranjan Somani"/>
    <x v="1"/>
    <s v="Sanjay Joshi"/>
    <s v="Done"/>
    <d v="2024-08-07T00:00:00"/>
    <m/>
    <x v="2"/>
    <n v="500000"/>
    <d v="2024-08-08T00:00:00"/>
    <n v="400000"/>
    <d v="2024-08-08T00:00:00"/>
    <s v="Aug"/>
    <m/>
    <m/>
    <s v=""/>
    <m/>
    <m/>
  </r>
  <r>
    <n v="62"/>
    <n v="9688"/>
    <d v="2024-08-07T00:00:00"/>
    <s v="Aug"/>
    <s v="Govindpura"/>
    <s v="BABU LAL"/>
    <n v="3401"/>
    <s v="Ajay Singh Shekhawat"/>
    <s v="Deepak Vajpayee"/>
    <n v="1358"/>
    <s v="Vijay Yadav"/>
    <n v="1463"/>
    <s v="Mayur Luhadia"/>
    <x v="0"/>
    <m/>
    <s v=""/>
    <m/>
    <m/>
    <x v="5"/>
    <n v="900000"/>
    <m/>
    <m/>
    <m/>
    <s v=""/>
    <m/>
    <m/>
    <s v=""/>
    <m/>
    <m/>
  </r>
  <r>
    <n v="63"/>
    <n v="9671"/>
    <d v="2024-08-07T00:00:00"/>
    <s v="Aug"/>
    <s v="DHAMNOD"/>
    <s v="KAILASH YADAV"/>
    <n v="3272"/>
    <s v="Lokendra Chouhan"/>
    <s v="Girish Jadav"/>
    <n v="3295"/>
    <s v="Ankur Khole"/>
    <n v="3052"/>
    <s v="Ranjan Somani"/>
    <x v="1"/>
    <s v="Mahendra Patel"/>
    <s v="Done"/>
    <d v="2024-08-08T00:00:00"/>
    <m/>
    <x v="4"/>
    <n v="900000"/>
    <m/>
    <m/>
    <m/>
    <s v=""/>
    <m/>
    <m/>
    <s v=""/>
    <m/>
    <m/>
  </r>
  <r>
    <n v="64"/>
    <n v="9702"/>
    <d v="2024-08-07T00:00:00"/>
    <s v="Aug"/>
    <s v="Khargone"/>
    <s v="SACHIN CHOUHAN"/>
    <n v="3450"/>
    <s v="Surendra Pawar"/>
    <s v="Pawan Yadav"/>
    <n v="3373"/>
    <s v="Ankur Khole"/>
    <n v="3052"/>
    <s v="Ranjan Somani"/>
    <x v="1"/>
    <m/>
    <s v=""/>
    <m/>
    <m/>
    <x v="5"/>
    <n v="500000"/>
    <m/>
    <m/>
    <m/>
    <s v=""/>
    <m/>
    <m/>
    <s v=""/>
    <m/>
    <m/>
  </r>
  <r>
    <n v="65"/>
    <n v="9735"/>
    <d v="2024-08-07T00:00:00"/>
    <s v="Aug"/>
    <s v="Reengus"/>
    <s v="AMIT SAINI"/>
    <n v="3388"/>
    <s v="Sandeep Kumar Jat"/>
    <s v="Sandeep Kumar Jat"/>
    <n v="3388"/>
    <s v="Bharat Singh Kuntal"/>
    <n v="1772"/>
    <s v="Mayur Luhadia"/>
    <x v="3"/>
    <s v="Devi Lal Yadav"/>
    <s v="Done"/>
    <d v="2024-08-08T00:00:00"/>
    <m/>
    <x v="0"/>
    <n v="999000"/>
    <d v="2024-08-08T00:00:00"/>
    <m/>
    <m/>
    <s v=""/>
    <m/>
    <m/>
    <s v=""/>
    <m/>
    <m/>
  </r>
  <r>
    <n v="66"/>
    <n v="9720"/>
    <d v="2024-08-07T00:00:00"/>
    <s v="Aug"/>
    <s v="Chaksu"/>
    <s v="SITA RAM BAIRWA"/>
    <n v="3329"/>
    <s v="Koshal Kumawat"/>
    <s v="Vanshraj Gurjar"/>
    <n v="3426"/>
    <s v="Kamlesh Sharma"/>
    <n v="1140"/>
    <s v="Pawan Khandelwal"/>
    <x v="5"/>
    <s v="Rishabh Bohra"/>
    <s v="Done"/>
    <d v="2024-08-08T00:00:00"/>
    <m/>
    <x v="4"/>
    <n v="500000"/>
    <m/>
    <m/>
    <m/>
    <s v=""/>
    <m/>
    <m/>
    <s v=""/>
    <m/>
    <m/>
  </r>
  <r>
    <n v="67"/>
    <n v="9734"/>
    <d v="2024-08-07T00:00:00"/>
    <s v="Aug"/>
    <s v="Nagda"/>
    <s v="GOPAL MALVIYA"/>
    <n v="3313"/>
    <s v="Sher Singh Rajput"/>
    <s v="Rajesh Varma"/>
    <n v="1962"/>
    <s v="TBI (Ratlam)"/>
    <s v="TBI (Ratlam)"/>
    <s v="Ranjan Somani"/>
    <x v="1"/>
    <s v="Sanjay Joshi"/>
    <s v="Done"/>
    <d v="2024-08-08T00:00:00"/>
    <m/>
    <x v="4"/>
    <n v="800000"/>
    <m/>
    <m/>
    <m/>
    <s v=""/>
    <m/>
    <m/>
    <s v=""/>
    <m/>
    <m/>
  </r>
  <r>
    <n v="68"/>
    <n v="9282"/>
    <d v="2024-08-07T00:00:00"/>
    <s v="Aug"/>
    <s v="ShriMadhopur"/>
    <s v="SARDAR MAL"/>
    <n v="1990"/>
    <s v="Ramesh Saini"/>
    <s v="Bharat Singh Kuntal"/>
    <n v="1772"/>
    <s v="Bharat Singh Kuntal"/>
    <n v="1772"/>
    <s v="Mayur Luhadia"/>
    <x v="3"/>
    <s v="Devi Lal Yadav"/>
    <s v="Done"/>
    <d v="2024-08-07T00:00:00"/>
    <s v="Business visit pending"/>
    <x v="3"/>
    <n v="600000"/>
    <m/>
    <m/>
    <m/>
    <s v=""/>
    <m/>
    <m/>
    <s v=""/>
    <m/>
    <m/>
  </r>
  <r>
    <n v="69"/>
    <n v="9714"/>
    <d v="2024-08-07T00:00:00"/>
    <s v="Aug"/>
    <s v="Khandwa"/>
    <s v="GOPAL TIROLE"/>
    <n v="3228"/>
    <s v="Hemendra Singh Tomar"/>
    <s v="Shyam Soni"/>
    <n v="3198"/>
    <s v="Ankur Khole"/>
    <n v="3052"/>
    <s v="Ranjan Somani"/>
    <x v="1"/>
    <m/>
    <s v=""/>
    <m/>
    <m/>
    <x v="5"/>
    <n v="900000"/>
    <m/>
    <m/>
    <m/>
    <s v=""/>
    <m/>
    <m/>
    <s v=""/>
    <m/>
    <m/>
  </r>
  <r>
    <n v="70"/>
    <n v="9703"/>
    <d v="2024-08-07T00:00:00"/>
    <s v="Aug"/>
    <s v="Sanawad"/>
    <s v="SUNIL"/>
    <n v="3460"/>
    <s v="Rahul Manddloi"/>
    <s v="Nitesh"/>
    <n v="3286"/>
    <s v="Ankur Khole"/>
    <n v="3052"/>
    <s v="Ranjan Somani"/>
    <x v="1"/>
    <s v="Rahul Gogle"/>
    <s v="Done"/>
    <d v="2024-08-07T00:00:00"/>
    <m/>
    <x v="4"/>
    <n v="500000"/>
    <m/>
    <m/>
    <m/>
    <s v=""/>
    <d v="2024-08-07T00:00:00"/>
    <m/>
    <s v="Pending"/>
    <m/>
    <m/>
  </r>
  <r>
    <n v="71"/>
    <n v="9738"/>
    <d v="2024-08-07T00:00:00"/>
    <s v="Aug"/>
    <s v="Taranagar"/>
    <s v="RAJU SINGH"/>
    <n v="3325"/>
    <s v="Vikas Kumar"/>
    <s v="Vikash kumar"/>
    <n v="3237"/>
    <s v="Santosh Kumar"/>
    <n v="1447"/>
    <s v="Mayur Luhadia"/>
    <x v="3"/>
    <s v="Manoj Kumar Sharma"/>
    <s v="Done"/>
    <d v="2024-08-08T00:00:00"/>
    <s v="Emloyment visit pending due to customer not going to site due to rain"/>
    <x v="3"/>
    <n v="500000"/>
    <m/>
    <m/>
    <m/>
    <s v=""/>
    <m/>
    <m/>
    <s v=""/>
    <m/>
    <m/>
  </r>
  <r>
    <n v="72"/>
    <n v="9726"/>
    <d v="2024-08-07T00:00:00"/>
    <s v="Aug"/>
    <s v="ShriMadhopur"/>
    <s v="Arjun"/>
    <n v="1821"/>
    <s v="Dinesh Kumar"/>
    <s v="Bharat Singh Kuntal"/>
    <n v="1772"/>
    <s v="Bharat Singh Kuntal"/>
    <n v="1772"/>
    <s v="Mayur Luhadia"/>
    <x v="3"/>
    <s v="Anand Tailor"/>
    <s v="Done"/>
    <d v="2024-08-08T00:00:00"/>
    <m/>
    <x v="4"/>
    <n v="800000"/>
    <m/>
    <m/>
    <m/>
    <s v=""/>
    <m/>
    <m/>
    <s v=""/>
    <m/>
    <m/>
  </r>
  <r>
    <n v="73"/>
    <n v="9756"/>
    <d v="2024-08-07T00:00:00"/>
    <s v="Aug"/>
    <s v="Govindpura"/>
    <s v="MUKESH BASETIA"/>
    <n v="1394"/>
    <s v="Vikram Singh Shekhawat"/>
    <s v="Deepak Vajpayee"/>
    <n v="1358"/>
    <s v="Vijay Yadav"/>
    <n v="1463"/>
    <s v="Mayur Luhadia"/>
    <x v="0"/>
    <s v="Narendra Gurjar"/>
    <s v="Done"/>
    <d v="2024-08-08T00:00:00"/>
    <m/>
    <x v="4"/>
    <n v="600000"/>
    <m/>
    <m/>
    <m/>
    <s v=""/>
    <m/>
    <m/>
    <s v=""/>
    <m/>
    <m/>
  </r>
  <r>
    <n v="74"/>
    <n v="9747"/>
    <d v="2024-08-07T00:00:00"/>
    <s v="Aug"/>
    <s v="Ratlam"/>
    <s v="Bane Sinch Devada"/>
    <n v="3146"/>
    <s v="Pankaj Dhanak"/>
    <s v="Rajesh Varma"/>
    <n v="1962"/>
    <s v="TBI (Ratlam)"/>
    <s v="TBI (Ratlam)"/>
    <s v="Ranjan Somani"/>
    <x v="1"/>
    <m/>
    <s v=""/>
    <m/>
    <m/>
    <x v="5"/>
    <n v="700000"/>
    <m/>
    <m/>
    <m/>
    <s v=""/>
    <m/>
    <m/>
    <s v=""/>
    <m/>
    <m/>
  </r>
  <r>
    <n v="75"/>
    <n v="9673"/>
    <d v="2024-08-07T00:00:00"/>
    <s v="Aug"/>
    <s v="Ratlam"/>
    <s v="GOVIND CHOUHAN"/>
    <n v="3146"/>
    <s v="Pankaj Dhanak"/>
    <s v="Rajesh Varma"/>
    <n v="1962"/>
    <s v="TBI (Ratlam)"/>
    <s v="TBI (Ratlam)"/>
    <s v="Ranjan Somani"/>
    <x v="1"/>
    <m/>
    <s v=""/>
    <m/>
    <m/>
    <x v="5"/>
    <n v="600000"/>
    <m/>
    <m/>
    <m/>
    <s v=""/>
    <m/>
    <m/>
    <s v=""/>
    <m/>
    <m/>
  </r>
  <r>
    <n v="76"/>
    <n v="9540"/>
    <d v="2024-08-07T00:00:00"/>
    <s v="Aug"/>
    <s v="RatanGarh"/>
    <s v="ASAMAN KANWAR"/>
    <n v="1843"/>
    <s v="Sahi Ram"/>
    <s v="Nemichand Nain"/>
    <n v="1762"/>
    <s v="Santosh Kumar"/>
    <n v="1447"/>
    <s v="Mayur Luhadia"/>
    <x v="3"/>
    <s v="Amit Kumar"/>
    <s v="Done"/>
    <d v="2024-08-08T00:00:00"/>
    <s v="SOA pending"/>
    <x v="3"/>
    <n v="700000"/>
    <m/>
    <m/>
    <m/>
    <s v=""/>
    <m/>
    <m/>
    <s v=""/>
    <m/>
    <m/>
  </r>
  <r>
    <n v="77"/>
    <n v="9209"/>
    <d v="2024-08-07T00:00:00"/>
    <s v="Aug"/>
    <s v="Shahpura"/>
    <s v="PRADEEP SINGH"/>
    <n v="1851"/>
    <s v="Surendra Kuri"/>
    <s v="Rakesh Yadav"/>
    <n v="3343"/>
    <s v="Deepak Sharma"/>
    <n v="1449"/>
    <s v="Pawan Khandelwal"/>
    <x v="0"/>
    <s v="Jhabar Mal Yadav"/>
    <s v="Done"/>
    <d v="2024-08-08T00:00:00"/>
    <m/>
    <x v="4"/>
    <n v="950000"/>
    <m/>
    <m/>
    <m/>
    <s v=""/>
    <m/>
    <m/>
    <s v=""/>
    <m/>
    <m/>
  </r>
  <r>
    <n v="78"/>
    <n v="9746"/>
    <d v="2024-08-07T00:00:00"/>
    <s v="Aug"/>
    <s v="Dhar"/>
    <s v="JAGDISH"/>
    <n v="3403"/>
    <s v="Vishal Patidar"/>
    <s v="Sawan Parmar"/>
    <n v="3265"/>
    <s v="Ankur Khole"/>
    <n v="3052"/>
    <s v="Ranjan Somani"/>
    <x v="1"/>
    <m/>
    <s v=""/>
    <m/>
    <m/>
    <x v="5"/>
    <n v="900000"/>
    <m/>
    <m/>
    <m/>
    <s v=""/>
    <m/>
    <m/>
    <s v=""/>
    <m/>
    <m/>
  </r>
  <r>
    <n v="79"/>
    <n v="9739"/>
    <d v="2024-08-07T00:00:00"/>
    <s v="Aug"/>
    <s v="Ratlam"/>
    <s v="Kamal"/>
    <n v="3146"/>
    <s v="Pankaj Dhanak"/>
    <s v="Rajesh Varma"/>
    <n v="1962"/>
    <s v="TBI (Ratlam)"/>
    <s v="TBI (Ratlam)"/>
    <s v="Ranjan Somani"/>
    <x v="1"/>
    <m/>
    <s v=""/>
    <m/>
    <m/>
    <x v="5"/>
    <n v="900000"/>
    <m/>
    <m/>
    <m/>
    <s v=""/>
    <m/>
    <m/>
    <s v=""/>
    <m/>
    <m/>
  </r>
  <r>
    <n v="80"/>
    <n v="9718"/>
    <d v="2024-08-07T00:00:00"/>
    <s v="Aug"/>
    <s v="Kotputli"/>
    <s v="DASHRAT YOGI"/>
    <n v="3394"/>
    <s v="Dharmpal Famda"/>
    <s v="Surendra Kumar Gurjar"/>
    <n v="3120"/>
    <s v="Deepak Sharma"/>
    <n v="1449"/>
    <s v="Pawan Khandelwal"/>
    <x v="0"/>
    <s v="Jhabar Mal Yadav"/>
    <s v="Done"/>
    <d v="2024-08-08T00:00:00"/>
    <m/>
    <x v="4"/>
    <n v="700000"/>
    <m/>
    <m/>
    <m/>
    <s v=""/>
    <m/>
    <m/>
    <s v=""/>
    <m/>
    <m/>
  </r>
  <r>
    <n v="81"/>
    <n v="9760"/>
    <d v="2024-08-07T00:00:00"/>
    <s v="Aug"/>
    <s v="Bijainagar"/>
    <s v="SANVAR LAL"/>
    <n v="1739"/>
    <s v="Hagami lal Jat"/>
    <s v="Hagami lal Jat"/>
    <n v="1739"/>
    <s v="Bhilwara Cluster"/>
    <s v="Bhilwara Cluster"/>
    <s v="Pawan Khandelwal"/>
    <x v="3"/>
    <s v="Darshan Kumar Bairwa"/>
    <s v="Done"/>
    <d v="2024-08-08T00:00:00"/>
    <m/>
    <x v="4"/>
    <n v="300000"/>
    <m/>
    <m/>
    <m/>
    <s v=""/>
    <m/>
    <m/>
    <s v=""/>
    <m/>
    <m/>
  </r>
  <r>
    <n v="82"/>
    <n v="9701"/>
    <d v="2024-08-08T00:00:00"/>
    <s v="Aug"/>
    <s v="Sri Ganganagar"/>
    <s v="HARIRAM"/>
    <n v="3264"/>
    <s v="Gajendra Kumar"/>
    <s v="Tarun Kumar"/>
    <n v="3275"/>
    <s v="Gurdeep Singh"/>
    <n v="3256"/>
    <s v="Mayur Luhadia"/>
    <x v="4"/>
    <m/>
    <s v=""/>
    <m/>
    <m/>
    <x v="5"/>
    <n v="400000"/>
    <m/>
    <m/>
    <m/>
    <s v=""/>
    <m/>
    <m/>
    <s v=""/>
    <m/>
    <m/>
  </r>
  <r>
    <n v="83"/>
    <n v="9777"/>
    <d v="2024-08-08T00:00:00"/>
    <s v="Aug"/>
    <s v="Sanganer"/>
    <s v="GANESH NAYAK"/>
    <n v="1976"/>
    <s v="Gyarsi Lal"/>
    <s v="Shivram Sharma"/>
    <n v="1885"/>
    <s v="Kamlesh Sharma"/>
    <n v="1140"/>
    <s v="Pawan Khandelwal"/>
    <x v="5"/>
    <m/>
    <s v=""/>
    <m/>
    <m/>
    <x v="5"/>
    <n v="700000"/>
    <m/>
    <m/>
    <m/>
    <s v=""/>
    <m/>
    <m/>
    <s v=""/>
    <m/>
    <m/>
  </r>
  <r>
    <n v="84"/>
    <n v="9763"/>
    <d v="2024-08-08T00:00:00"/>
    <s v="Aug"/>
    <s v="Khandwa"/>
    <s v="MAHESH KARMA"/>
    <n v="3442"/>
    <s v="Anil Malakar"/>
    <s v="Shyam Soni"/>
    <n v="3198"/>
    <s v="Ankur Khole"/>
    <n v="3052"/>
    <s v="Ranjan Somani"/>
    <x v="1"/>
    <m/>
    <s v=""/>
    <m/>
    <m/>
    <x v="5"/>
    <n v="900000"/>
    <m/>
    <m/>
    <m/>
    <s v=""/>
    <m/>
    <m/>
    <s v=""/>
    <m/>
    <m/>
  </r>
  <r>
    <n v="85"/>
    <n v="9616"/>
    <d v="2024-08-08T00:00:00"/>
    <s v="Aug"/>
    <s v="Indore"/>
    <s v="VIJAY GURJAR"/>
    <n v="3178"/>
    <s v="Akash Chouhan"/>
    <s v="Ankur Khole"/>
    <n v="3052"/>
    <s v="Ankur Khole"/>
    <n v="3052"/>
    <s v="Ranjan Somani"/>
    <x v="1"/>
    <m/>
    <s v=""/>
    <m/>
    <m/>
    <x v="5"/>
    <n v="800000"/>
    <m/>
    <m/>
    <m/>
    <s v=""/>
    <m/>
    <m/>
    <s v=""/>
    <m/>
    <m/>
  </r>
  <r>
    <n v="86"/>
    <n v="9782"/>
    <d v="2024-08-08T00:00:00"/>
    <s v="Aug"/>
    <s v="Jobner"/>
    <s v="VIKAS CHOUDHARY"/>
    <n v="1691"/>
    <s v="Dharmveer Choudhary"/>
    <s v="Ram Niwas Jat"/>
    <n v="1519"/>
    <s v="Vijay Yadav"/>
    <n v="1463"/>
    <s v="Mayur Luhadia"/>
    <x v="0"/>
    <m/>
    <s v=""/>
    <m/>
    <m/>
    <x v="5"/>
    <n v="700000"/>
    <m/>
    <m/>
    <m/>
    <s v=""/>
    <m/>
    <m/>
    <s v=""/>
    <m/>
    <m/>
  </r>
  <r>
    <n v="87"/>
    <n v="9693"/>
    <d v="2024-08-08T00:00:00"/>
    <s v="Aug"/>
    <s v="Chaksu"/>
    <s v="Kailash Chand MEENA"/>
    <n v="3395"/>
    <s v="Gajendra Kumar"/>
    <s v="Vanshraj Gurjar"/>
    <n v="3426"/>
    <s v="Kamlesh Sharma"/>
    <n v="1140"/>
    <s v="Pawan Khandelwal"/>
    <x v="5"/>
    <m/>
    <s v=""/>
    <m/>
    <m/>
    <x v="5"/>
    <n v="900000"/>
    <m/>
    <m/>
    <m/>
    <s v=""/>
    <m/>
    <m/>
    <s v=""/>
    <m/>
    <m/>
  </r>
  <r>
    <n v="88"/>
    <n v="9593"/>
    <d v="2024-08-08T00:00:00"/>
    <s v="Aug"/>
    <s v="Ratlam"/>
    <s v="ISHWARDAS BAiRAGI"/>
    <n v="3191"/>
    <s v="Yatindra Upadhyay"/>
    <s v="Rajesh Varma"/>
    <n v="1962"/>
    <s v="TBI (Ratlam)"/>
    <s v="TBI (Ratlam)"/>
    <s v="Ranjan Somani"/>
    <x v="1"/>
    <m/>
    <s v=""/>
    <m/>
    <m/>
    <x v="5"/>
    <n v="990000"/>
    <m/>
    <m/>
    <m/>
    <s v=""/>
    <m/>
    <m/>
    <s v=""/>
    <m/>
    <m/>
  </r>
  <r>
    <n v="89"/>
    <n v="9768"/>
    <d v="2024-08-08T00:00:00"/>
    <s v="Aug"/>
    <s v="Raisingh Nagar"/>
    <s v="ARUN KUMAR"/>
    <n v="3143"/>
    <s v="Bhagwant Singh"/>
    <s v="Tarsem Singh"/>
    <n v="3132"/>
    <s v="Gurdeep Singh"/>
    <n v="3256"/>
    <s v="Mayur Luhadia"/>
    <x v="4"/>
    <m/>
    <s v=""/>
    <m/>
    <m/>
    <x v="5"/>
    <n v="400000"/>
    <m/>
    <m/>
    <m/>
    <s v=""/>
    <m/>
    <m/>
    <s v=""/>
    <m/>
    <m/>
  </r>
  <r>
    <n v="90"/>
    <n v="9717"/>
    <d v="2024-08-08T00:00:00"/>
    <s v="Aug"/>
    <s v="Paota"/>
    <s v="RAVI DHANKHAD"/>
    <n v="3433"/>
    <s v="Prathvi Singh Yadav"/>
    <s v="Manish Kumar Saini"/>
    <n v="3465"/>
    <s v="Deepak Sharma"/>
    <n v="1449"/>
    <s v="Pawan Khandelwal"/>
    <x v="0"/>
    <m/>
    <s v=""/>
    <m/>
    <m/>
    <x v="5"/>
    <n v="600000"/>
    <m/>
    <m/>
    <m/>
    <s v=""/>
    <m/>
    <m/>
    <s v=""/>
    <m/>
    <m/>
  </r>
  <r>
    <n v="91"/>
    <n v="9730"/>
    <d v="2024-08-08T00:00:00"/>
    <s v="Aug"/>
    <s v="Sardarshahar"/>
    <s v="RAJESH NAYAK"/>
    <n v="3302"/>
    <s v="Surendra Kumar"/>
    <s v="Mukesh Kumar Meghwal"/>
    <n v="3229"/>
    <s v="Gajanand Purohit"/>
    <n v="1596"/>
    <s v="Mayur Luhadia"/>
    <x v="6"/>
    <m/>
    <s v=""/>
    <m/>
    <m/>
    <x v="5"/>
    <n v="500000"/>
    <m/>
    <m/>
    <m/>
    <s v=""/>
    <m/>
    <m/>
    <s v=""/>
    <m/>
    <m/>
  </r>
  <r>
    <n v="92"/>
    <n v="9528"/>
    <d v="2024-08-08T00:00:00"/>
    <s v="Aug"/>
    <s v="LUNKARANSAR"/>
    <s v="NETRAM NAI"/>
    <n v="1944"/>
    <s v="Ganesh Meghwal"/>
    <s v="Manoj Kumar Yadav"/>
    <n v="1827"/>
    <s v="Gajanand Purohit"/>
    <n v="1596"/>
    <s v="Mayur Luhadia"/>
    <x v="6"/>
    <m/>
    <s v=""/>
    <m/>
    <m/>
    <x v="5"/>
    <n v="500000"/>
    <m/>
    <m/>
    <m/>
    <s v=""/>
    <m/>
    <m/>
    <s v=""/>
    <m/>
    <m/>
  </r>
  <r>
    <n v="93"/>
    <n v="9748"/>
    <d v="2024-08-08T00:00:00"/>
    <s v="Aug"/>
    <s v="Shahpura"/>
    <s v="KISHAN LAL SAINI"/>
    <n v="3437"/>
    <s v="Vijay singh"/>
    <s v="Rakesh Yadav"/>
    <n v="3343"/>
    <s v="Deepak Sharma"/>
    <n v="1449"/>
    <s v="Pawan Khandelwal"/>
    <x v="0"/>
    <m/>
    <s v=""/>
    <m/>
    <m/>
    <x v="5"/>
    <n v="650000"/>
    <m/>
    <m/>
    <m/>
    <s v=""/>
    <m/>
    <m/>
    <s v=""/>
    <m/>
    <m/>
  </r>
  <r>
    <n v="94"/>
    <n v="9708"/>
    <d v="2024-08-08T00:00:00"/>
    <s v="Aug"/>
    <s v="Bikaner"/>
    <s v="GANESH GIRI"/>
    <n v="3044"/>
    <s v="Mohan Singh"/>
    <s v="Mohan Singh"/>
    <n v="3044"/>
    <s v="Gajanand Purohit"/>
    <n v="1596"/>
    <s v="Mayur Luhadia"/>
    <x v="6"/>
    <m/>
    <s v=""/>
    <m/>
    <m/>
    <x v="5"/>
    <n v="900000"/>
    <m/>
    <m/>
    <m/>
    <s v=""/>
    <m/>
    <m/>
    <s v=""/>
    <m/>
    <m/>
  </r>
  <r>
    <n v="95"/>
    <n v="9677"/>
    <d v="2024-08-08T00:00:00"/>
    <s v="Aug"/>
    <s v="Sadulpur"/>
    <s v="VIJENDAR KUMAR"/>
    <n v="1985"/>
    <s v="Sonu Kumar"/>
    <s v="Babu Lal"/>
    <n v="1983"/>
    <s v="Santosh Kumar"/>
    <n v="1447"/>
    <s v="Mayur Luhadia"/>
    <x v="3"/>
    <m/>
    <s v=""/>
    <m/>
    <m/>
    <x v="5"/>
    <n v="700000"/>
    <m/>
    <m/>
    <m/>
    <s v=""/>
    <m/>
    <m/>
    <s v=""/>
    <m/>
    <m/>
  </r>
  <r>
    <n v="96"/>
    <n v="9796"/>
    <d v="2024-08-08T00:00:00"/>
    <s v="Aug"/>
    <s v="Paota"/>
    <s v="PRAKASH CHAND GOSWAMI"/>
    <n v="3433"/>
    <s v="Prathvi Singh Yadav"/>
    <s v="Manish Kumar Saini"/>
    <n v="3465"/>
    <s v="Deepak Sharma"/>
    <n v="1449"/>
    <s v="Pawan Khandelwal"/>
    <x v="0"/>
    <m/>
    <s v=""/>
    <m/>
    <m/>
    <x v="5"/>
    <n v="500000"/>
    <m/>
    <m/>
    <m/>
    <s v=""/>
    <m/>
    <m/>
    <s v=""/>
    <m/>
    <m/>
  </r>
  <r>
    <n v="97"/>
    <n v="9740"/>
    <d v="2024-08-08T00:00:00"/>
    <s v="Aug"/>
    <s v="Indore"/>
    <s v="JITENDRA"/>
    <n v="3178"/>
    <s v="Akash Chouhan"/>
    <s v="Ankur Khole"/>
    <n v="3052"/>
    <s v="Ankur Khole"/>
    <n v="3052"/>
    <s v="Ranjan Somani"/>
    <x v="1"/>
    <m/>
    <s v=""/>
    <m/>
    <m/>
    <x v="5"/>
    <n v="990000"/>
    <m/>
    <m/>
    <m/>
    <s v=""/>
    <m/>
    <m/>
    <s v=""/>
    <m/>
    <m/>
  </r>
  <r>
    <n v="98"/>
    <n v="9797"/>
    <d v="2024-08-08T00:00:00"/>
    <s v="Aug"/>
    <s v="Shahpura"/>
    <s v="OM SINGH"/>
    <n v="1851"/>
    <s v="Surendra Kuri"/>
    <s v="Rakesh Yadav"/>
    <n v="3343"/>
    <s v="Deepak Sharma"/>
    <n v="1449"/>
    <s v="Pawan Khandelwal"/>
    <x v="0"/>
    <m/>
    <s v=""/>
    <m/>
    <m/>
    <x v="5"/>
    <n v="990000"/>
    <m/>
    <m/>
    <m/>
    <s v=""/>
    <m/>
    <m/>
    <s v=""/>
    <m/>
    <m/>
  </r>
  <r>
    <n v="99"/>
    <n v="9794"/>
    <d v="2024-08-08T00:00:00"/>
    <s v="Aug"/>
    <s v="Shahpura"/>
    <s v="DHAMENDRA KUMAR JAT"/>
    <n v="3437"/>
    <s v="Vijay singh"/>
    <s v="Rakesh Yadav"/>
    <n v="3343"/>
    <s v="Deepak Sharma"/>
    <n v="1449"/>
    <s v="Pawan Khandelwal"/>
    <x v="0"/>
    <m/>
    <s v=""/>
    <m/>
    <m/>
    <x v="5"/>
    <n v="330000"/>
    <m/>
    <m/>
    <m/>
    <s v=""/>
    <m/>
    <m/>
    <s v=""/>
    <m/>
    <m/>
  </r>
  <r>
    <n v="100"/>
    <n v="9798"/>
    <d v="2024-08-08T00:00:00"/>
    <s v="Aug"/>
    <s v="Dhar"/>
    <s v="JITENDRA"/>
    <n v="3323"/>
    <s v="Dharmpal Singh Chandawat"/>
    <s v="Sawan Parmar"/>
    <n v="3265"/>
    <s v="Ankur Khole"/>
    <n v="3052"/>
    <s v="Ranjan Somani"/>
    <x v="1"/>
    <m/>
    <s v=""/>
    <m/>
    <m/>
    <x v="5"/>
    <n v="800000"/>
    <m/>
    <m/>
    <m/>
    <s v=""/>
    <m/>
    <m/>
    <s v=""/>
    <m/>
    <m/>
  </r>
  <r>
    <m/>
    <m/>
    <m/>
    <m/>
    <m/>
    <m/>
    <m/>
    <m/>
    <m/>
    <m/>
    <m/>
    <m/>
    <m/>
    <x v="7"/>
    <m/>
    <m/>
    <m/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CM" colHeaderCaption="File Stage">
  <location ref="A217:H226" firstHeaderRow="1" firstDataRow="2" firstDataCol="1"/>
  <pivotFields count="29">
    <pivotField showAll="0"/>
    <pivotField numFmtId="1" showAll="0"/>
    <pivotField numFmtId="14" showAll="0"/>
    <pivotField dataField="1" showAll="0"/>
    <pivotField showAll="0"/>
    <pivotField showAll="0" defaultSubtota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6"/>
        <item x="3"/>
        <item x="4"/>
        <item x="0"/>
        <item x="5"/>
        <item x="2"/>
        <item h="1" x="7"/>
        <item t="default"/>
      </items>
    </pivotField>
    <pivotField showAll="0"/>
    <pivotField showAll="0"/>
    <pivotField showAll="0"/>
    <pivotField showAll="0"/>
    <pivotField axis="axisCol" showAll="0">
      <items count="8">
        <item x="5"/>
        <item x="6"/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8"/>
  </colFields>
  <colItems count="7">
    <i>
      <x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ONTH" fld="3" subtotal="count" baseField="0" baseItem="0"/>
  </dataFields>
  <formats count="20"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18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3" type="button" dataOnly="0" labelOnly="1" outline="0" axis="axisRow" fieldPosition="0"/>
    </format>
    <format dxfId="163">
      <pivotArea dataOnly="0" labelOnly="1" fieldPosition="0">
        <references count="1">
          <reference field="13" count="0"/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1">
          <reference field="18" count="0"/>
        </references>
      </pivotArea>
    </format>
    <format dxfId="160">
      <pivotArea dataOnly="0" labelOnly="1" grandCol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18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13" type="button" dataOnly="0" labelOnly="1" outline="0" axis="axisRow" fieldPosition="0"/>
    </format>
    <format dxfId="153">
      <pivotArea dataOnly="0" labelOnly="1" fieldPosition="0">
        <references count="1">
          <reference field="13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18" count="0"/>
        </references>
      </pivotArea>
    </format>
    <format dxfId="1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766A3D-1A1A-4087-9D36-33EC57695CC5}">
  <we:reference id="wa200001841" version="1.0.0.0" store="en-US" storeType="OMEX"/>
  <we:alternateReferences>
    <we:reference id="WA200001841" version="1.0.0.0" store="WA2000018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AK101"/>
  <sheetViews>
    <sheetView tabSelected="1" zoomScaleNormal="100" workbookViewId="0">
      <pane ySplit="1" topLeftCell="A2" activePane="bottomLeft" state="frozen"/>
      <selection activeCell="A33" sqref="A33:B33"/>
      <selection pane="bottomLeft" activeCell="A5" sqref="A5"/>
    </sheetView>
  </sheetViews>
  <sheetFormatPr defaultRowHeight="15" x14ac:dyDescent="0.25"/>
  <cols>
    <col min="1" max="1" width="6.28515625" bestFit="1" customWidth="1"/>
    <col min="2" max="2" width="9.140625" bestFit="1" customWidth="1"/>
    <col min="3" max="3" width="10.42578125" style="2" bestFit="1" customWidth="1"/>
    <col min="4" max="4" width="7.85546875" bestFit="1" customWidth="1"/>
    <col min="5" max="5" width="17.7109375" bestFit="1" customWidth="1"/>
    <col min="6" max="6" width="26.5703125" bestFit="1" customWidth="1"/>
    <col min="7" max="7" width="5.5703125" style="1" bestFit="1" customWidth="1"/>
    <col min="8" max="8" width="25.7109375" style="1" bestFit="1" customWidth="1"/>
    <col min="9" max="9" width="23.140625" bestFit="1" customWidth="1"/>
    <col min="10" max="10" width="13.85546875" bestFit="1" customWidth="1"/>
    <col min="11" max="11" width="18.42578125" bestFit="1" customWidth="1"/>
    <col min="12" max="12" width="15.5703125" bestFit="1" customWidth="1"/>
    <col min="13" max="13" width="18" bestFit="1" customWidth="1"/>
    <col min="14" max="14" width="22" bestFit="1" customWidth="1"/>
    <col min="15" max="15" width="22.42578125" style="4" bestFit="1" customWidth="1"/>
    <col min="16" max="16" width="7.5703125" bestFit="1" customWidth="1"/>
    <col min="17" max="17" width="10.42578125" style="2" bestFit="1" customWidth="1"/>
    <col min="18" max="18" width="64.42578125" bestFit="1" customWidth="1"/>
    <col min="19" max="19" width="13.85546875" bestFit="1" customWidth="1"/>
    <col min="20" max="20" width="8.28515625" bestFit="1" customWidth="1"/>
    <col min="21" max="21" width="10.42578125" style="2" bestFit="1" customWidth="1"/>
    <col min="22" max="22" width="8.5703125" customWidth="1"/>
    <col min="23" max="23" width="10.85546875" style="3" bestFit="1" customWidth="1"/>
    <col min="24" max="24" width="12.7109375" bestFit="1" customWidth="1"/>
    <col min="25" max="25" width="15.140625" bestFit="1" customWidth="1"/>
    <col min="26" max="26" width="13.85546875" style="2" bestFit="1" customWidth="1"/>
    <col min="27" max="27" width="9.140625" style="2" customWidth="1"/>
    <col min="28" max="29" width="13.85546875" style="2" bestFit="1" customWidth="1"/>
    <col min="30" max="30" width="10.85546875" style="2" bestFit="1" customWidth="1"/>
    <col min="31" max="31" width="10" bestFit="1" customWidth="1"/>
    <col min="32" max="32" width="30.42578125" bestFit="1" customWidth="1"/>
    <col min="33" max="33" width="105.5703125" bestFit="1" customWidth="1"/>
    <col min="34" max="34" width="8" style="1" bestFit="1" customWidth="1"/>
    <col min="35" max="35" width="12.28515625" bestFit="1" customWidth="1"/>
    <col min="37" max="37" width="11.7109375" bestFit="1" customWidth="1"/>
  </cols>
  <sheetData>
    <row r="1" spans="1:37" s="17" customFormat="1" ht="38.1" customHeight="1" x14ac:dyDescent="0.25">
      <c r="A1" s="157" t="s">
        <v>522</v>
      </c>
      <c r="B1" s="157" t="s">
        <v>116</v>
      </c>
      <c r="C1" s="152" t="s">
        <v>115</v>
      </c>
      <c r="D1" s="157" t="s">
        <v>114</v>
      </c>
      <c r="E1" s="157" t="s">
        <v>113</v>
      </c>
      <c r="F1" s="157" t="s">
        <v>488</v>
      </c>
      <c r="G1" s="157" t="s">
        <v>112</v>
      </c>
      <c r="H1" s="157" t="s">
        <v>111</v>
      </c>
      <c r="I1" s="157" t="s">
        <v>110</v>
      </c>
      <c r="J1" s="158" t="s">
        <v>109</v>
      </c>
      <c r="K1" s="157" t="s">
        <v>108</v>
      </c>
      <c r="L1" s="158" t="s">
        <v>107</v>
      </c>
      <c r="M1" s="157" t="s">
        <v>106</v>
      </c>
      <c r="N1" s="157" t="s">
        <v>105</v>
      </c>
      <c r="O1" s="157" t="s">
        <v>104</v>
      </c>
      <c r="P1" s="157" t="s">
        <v>103</v>
      </c>
      <c r="Q1" s="159" t="s">
        <v>102</v>
      </c>
      <c r="R1" s="157" t="s">
        <v>101</v>
      </c>
      <c r="S1" s="160" t="s">
        <v>100</v>
      </c>
      <c r="T1" s="161" t="s">
        <v>99</v>
      </c>
      <c r="U1" s="162" t="s">
        <v>98</v>
      </c>
      <c r="V1" s="158" t="s">
        <v>97</v>
      </c>
      <c r="W1" s="162" t="s">
        <v>96</v>
      </c>
      <c r="X1" s="158" t="s">
        <v>95</v>
      </c>
      <c r="Y1" s="162" t="s">
        <v>520</v>
      </c>
      <c r="Z1" s="162" t="s">
        <v>94</v>
      </c>
      <c r="AA1" s="158" t="s">
        <v>464</v>
      </c>
      <c r="AB1" s="162" t="s">
        <v>93</v>
      </c>
      <c r="AC1" s="162" t="s">
        <v>92</v>
      </c>
      <c r="AD1" s="162" t="s">
        <v>521</v>
      </c>
      <c r="AE1" s="163" t="s">
        <v>91</v>
      </c>
      <c r="AF1" s="158" t="s">
        <v>90</v>
      </c>
      <c r="AG1" s="158" t="s">
        <v>89</v>
      </c>
      <c r="AH1" s="163" t="s">
        <v>88</v>
      </c>
      <c r="AI1" s="163" t="s">
        <v>87</v>
      </c>
      <c r="AJ1" s="163" t="s">
        <v>86</v>
      </c>
      <c r="AK1" s="153" t="s">
        <v>85</v>
      </c>
    </row>
    <row r="2" spans="1:37" x14ac:dyDescent="0.25">
      <c r="A2" s="5">
        <v>1</v>
      </c>
      <c r="B2" s="130">
        <v>9402</v>
      </c>
      <c r="C2" s="14">
        <v>45495</v>
      </c>
      <c r="D2" s="5" t="s">
        <v>548</v>
      </c>
      <c r="E2" s="8" t="s">
        <v>4</v>
      </c>
      <c r="F2" s="13" t="s">
        <v>549</v>
      </c>
      <c r="G2" s="12">
        <v>1394</v>
      </c>
      <c r="H2" s="11" t="str">
        <f>IF(G2="","",VLOOKUP(G2,'MASTER DATA'!C:D,2,FALSE ))</f>
        <v>Vikram Singh Shekhawat</v>
      </c>
      <c r="I2" s="10" t="str">
        <f>IF(G2="","",VLOOKUP(G2,'MASTER DATA'!C:F,4,FALSE ))</f>
        <v>Deepak Vajpayee</v>
      </c>
      <c r="J2" s="10">
        <f>IF(G2="","",VLOOKUP(G2,'MASTER DATA'!C:J,8,FALSE))</f>
        <v>1358</v>
      </c>
      <c r="K2" s="10" t="str">
        <f>IF(I2="","",VLOOKUP(I2,'MASTER DATA'!F:G,2,FALSE ))</f>
        <v>Vijay Yadav</v>
      </c>
      <c r="L2" s="10">
        <f>IF(K2="","",VLOOKUP(K2,'MASTER DATA'!G:K,5,FALSE))</f>
        <v>1463</v>
      </c>
      <c r="M2" s="10" t="str">
        <f>IF(G2="","",VLOOKUP(G2,'MASTER DATA'!C:L,10,0))</f>
        <v>Mayur Luhadia</v>
      </c>
      <c r="N2" s="5" t="str">
        <f>VLOOKUP(G2,'MASTER DATA'!C:I,7,0)</f>
        <v>Ajay Gupta</v>
      </c>
      <c r="O2" s="5" t="s">
        <v>44</v>
      </c>
      <c r="P2" s="5" t="str">
        <f t="shared" ref="P2:P9" si="0">IF(O2="","","Done")</f>
        <v>Done</v>
      </c>
      <c r="Q2" s="7">
        <v>45497</v>
      </c>
      <c r="R2" s="9"/>
      <c r="S2" s="8" t="s">
        <v>27</v>
      </c>
      <c r="T2" s="8">
        <v>2200000</v>
      </c>
      <c r="U2" s="7">
        <v>45503</v>
      </c>
      <c r="V2" s="5"/>
      <c r="W2" s="7"/>
      <c r="X2" s="5" t="str">
        <f t="shared" ref="X2:X46" si="1">IF(W2="","",TEXT(W2,"mmm"))</f>
        <v/>
      </c>
      <c r="Y2" s="7">
        <v>45498</v>
      </c>
      <c r="Z2" s="7">
        <v>45500</v>
      </c>
      <c r="AA2" s="5" t="str">
        <f>IF(AND(ISBLANK(Y2), ISBLANK(Z2)), "", IF(AND(NOT(ISBLANK(Y2)), ISBLANK(Z2)), "Pending", IF(AND(ISBLANK(Y2), NOT(ISBLANK(Z2))), "Received", "Received")))</f>
        <v>Received</v>
      </c>
      <c r="AB2" s="7"/>
      <c r="AC2" s="7"/>
      <c r="AD2" s="5"/>
      <c r="AE2" s="5"/>
      <c r="AF2" s="6" t="s">
        <v>62</v>
      </c>
      <c r="AG2" s="5" t="s">
        <v>615</v>
      </c>
      <c r="AH2" s="5">
        <f t="shared" ref="AH2:AH33" si="2">IF(Q2="","-",Q2-C2)</f>
        <v>2</v>
      </c>
      <c r="AI2" s="5" t="str">
        <f t="shared" ref="AI2:AI33" si="3">IF(W2="","-",W2-C2)</f>
        <v>-</v>
      </c>
      <c r="AJ2" s="5" t="str">
        <f t="shared" ref="AJ2:AJ33" si="4">IF(AE2="","-",AE2-C2)</f>
        <v>-</v>
      </c>
    </row>
    <row r="3" spans="1:37" x14ac:dyDescent="0.25">
      <c r="A3" s="5">
        <v>2</v>
      </c>
      <c r="B3" s="130">
        <v>9286</v>
      </c>
      <c r="C3" s="14">
        <v>45495</v>
      </c>
      <c r="D3" s="5" t="s">
        <v>548</v>
      </c>
      <c r="E3" s="8" t="s">
        <v>13</v>
      </c>
      <c r="F3" s="13" t="s">
        <v>551</v>
      </c>
      <c r="G3" s="12">
        <v>3178</v>
      </c>
      <c r="H3" s="11" t="str">
        <f>IF(G3="","",VLOOKUP(G3,'MASTER DATA'!C:D,2,FALSE ))</f>
        <v>Akash Chouhan</v>
      </c>
      <c r="I3" s="10" t="str">
        <f>IF(G3="","",VLOOKUP(G3,'MASTER DATA'!C:F,4,FALSE ))</f>
        <v>Ankur Khole</v>
      </c>
      <c r="J3" s="10">
        <f>IF(G3="","",VLOOKUP(G3,'MASTER DATA'!C:J,8,FALSE))</f>
        <v>3052</v>
      </c>
      <c r="K3" s="10" t="str">
        <f>IF(I3="","",VLOOKUP(I3,'MASTER DATA'!F:G,2,FALSE ))</f>
        <v>Ankur Khole</v>
      </c>
      <c r="L3" s="10">
        <f>IF(K3="","",VLOOKUP(K3,'MASTER DATA'!G:K,5,FALSE))</f>
        <v>3052</v>
      </c>
      <c r="M3" s="10" t="str">
        <f>IF(G3="","",VLOOKUP(G3,'MASTER DATA'!C:L,10,0))</f>
        <v>Ranjan Somani</v>
      </c>
      <c r="N3" s="5" t="str">
        <f>VLOOKUP(G3,'MASTER DATA'!C:I,7,0)</f>
        <v>Manoj Chauhan</v>
      </c>
      <c r="O3" s="5" t="s">
        <v>32</v>
      </c>
      <c r="P3" s="5" t="str">
        <f t="shared" si="0"/>
        <v>Done</v>
      </c>
      <c r="Q3" s="7">
        <v>45497</v>
      </c>
      <c r="R3" s="9"/>
      <c r="S3" s="8" t="s">
        <v>27</v>
      </c>
      <c r="T3" s="8">
        <v>990000</v>
      </c>
      <c r="U3" s="7">
        <v>45510</v>
      </c>
      <c r="V3" s="5"/>
      <c r="W3" s="7"/>
      <c r="X3" s="5" t="str">
        <f t="shared" si="1"/>
        <v/>
      </c>
      <c r="Y3" s="7">
        <v>45499</v>
      </c>
      <c r="Z3" s="7">
        <v>45501</v>
      </c>
      <c r="AA3" s="5" t="str">
        <f>IF(AND(ISBLANK(Y3), ISBLANK(Z3)), "", IF(AND(NOT(ISBLANK(Y3)), ISBLANK(Z3)), "Pending", IF(AND(ISBLANK(Y3), NOT(ISBLANK(Z3))), "Received", "Received")))</f>
        <v>Received</v>
      </c>
      <c r="AB3" s="7"/>
      <c r="AC3" s="7"/>
      <c r="AD3" s="5"/>
      <c r="AE3" s="5"/>
      <c r="AF3" s="6" t="s">
        <v>26</v>
      </c>
      <c r="AG3" s="5" t="s">
        <v>600</v>
      </c>
      <c r="AH3" s="5">
        <f t="shared" si="2"/>
        <v>2</v>
      </c>
      <c r="AI3" s="5" t="str">
        <f t="shared" si="3"/>
        <v>-</v>
      </c>
      <c r="AJ3" s="5" t="str">
        <f t="shared" si="4"/>
        <v>-</v>
      </c>
    </row>
    <row r="4" spans="1:37" x14ac:dyDescent="0.25">
      <c r="A4" s="5">
        <v>3</v>
      </c>
      <c r="B4" s="130">
        <v>9534</v>
      </c>
      <c r="C4" s="14">
        <v>45497</v>
      </c>
      <c r="D4" s="5" t="s">
        <v>548</v>
      </c>
      <c r="E4" s="8" t="s">
        <v>134</v>
      </c>
      <c r="F4" s="13" t="s">
        <v>552</v>
      </c>
      <c r="G4" s="12">
        <v>1004</v>
      </c>
      <c r="H4" s="11" t="str">
        <f>IF(G4="","",VLOOKUP(G4,'MASTER DATA'!C:D,2,FALSE ))</f>
        <v>Sunil Sharma</v>
      </c>
      <c r="I4" s="10" t="str">
        <f>IF(G4="","",VLOOKUP(G4,'MASTER DATA'!C:F,4,FALSE ))</f>
        <v>Jaipur HO</v>
      </c>
      <c r="J4" s="10" t="str">
        <f>IF(G4="","",VLOOKUP(G4,'MASTER DATA'!C:J,8,FALSE))</f>
        <v>Jaipur HO</v>
      </c>
      <c r="K4" s="10" t="str">
        <f>IF(I4="","",VLOOKUP(I4,'MASTER DATA'!F:G,2,FALSE ))</f>
        <v>Jaipur HO</v>
      </c>
      <c r="L4" s="10" t="str">
        <f>IF(K4="","",VLOOKUP(K4,'MASTER DATA'!G:K,5,FALSE))</f>
        <v>Jaipur Ho</v>
      </c>
      <c r="M4" s="10" t="str">
        <f>IF(G4="","",VLOOKUP(G4,'MASTER DATA'!C:L,10,0))</f>
        <v>Jaipur HO</v>
      </c>
      <c r="N4" s="5" t="str">
        <f>VLOOKUP(G4,'MASTER DATA'!C:I,7,0)</f>
        <v>Jaipur HO</v>
      </c>
      <c r="O4" s="5" t="s">
        <v>34</v>
      </c>
      <c r="P4" s="5" t="str">
        <f t="shared" si="0"/>
        <v>Done</v>
      </c>
      <c r="Q4" s="7">
        <v>45499</v>
      </c>
      <c r="R4" s="9"/>
      <c r="S4" s="8" t="s">
        <v>45</v>
      </c>
      <c r="T4" s="8">
        <v>3500000</v>
      </c>
      <c r="U4" s="7"/>
      <c r="V4" s="5"/>
      <c r="W4" s="7"/>
      <c r="X4" s="5" t="str">
        <f t="shared" si="1"/>
        <v/>
      </c>
      <c r="Y4" s="7"/>
      <c r="Z4" s="7"/>
      <c r="AA4" s="5" t="str">
        <f>IF(AND(ISBLANK(Y4), ISBLANK(Z4)), "", IF(AND(NOT(ISBLANK(Y4)), ISBLANK(Z4)), "Pending", IF(AND(ISBLANK(Y4), NOT(ISBLANK(Z4))), "Received", "Received")))</f>
        <v/>
      </c>
      <c r="AB4" s="7">
        <v>45498</v>
      </c>
      <c r="AC4" s="7">
        <v>45500</v>
      </c>
      <c r="AD4" s="5" t="s">
        <v>553</v>
      </c>
      <c r="AE4" s="5"/>
      <c r="AF4" s="6"/>
      <c r="AG4" s="5"/>
      <c r="AH4" s="5">
        <f t="shared" si="2"/>
        <v>2</v>
      </c>
      <c r="AI4" s="5" t="str">
        <f t="shared" si="3"/>
        <v>-</v>
      </c>
      <c r="AJ4" s="5" t="str">
        <f t="shared" si="4"/>
        <v>-</v>
      </c>
    </row>
    <row r="5" spans="1:37" x14ac:dyDescent="0.25">
      <c r="A5" s="5">
        <v>4</v>
      </c>
      <c r="B5" s="130">
        <v>9408</v>
      </c>
      <c r="C5" s="14">
        <v>45497</v>
      </c>
      <c r="D5" s="5" t="s">
        <v>548</v>
      </c>
      <c r="E5" s="8" t="s">
        <v>13</v>
      </c>
      <c r="F5" s="13" t="s">
        <v>554</v>
      </c>
      <c r="G5" s="12">
        <v>3202</v>
      </c>
      <c r="H5" s="11" t="str">
        <f>IF(G5="","",VLOOKUP(G5,'MASTER DATA'!C:D,2,FALSE ))</f>
        <v>Ajay KumarRajak</v>
      </c>
      <c r="I5" s="10" t="str">
        <f>IF(G5="","",VLOOKUP(G5,'MASTER DATA'!C:F,4,FALSE ))</f>
        <v>Arjun Ekle</v>
      </c>
      <c r="J5" s="10">
        <f>IF(G5="","",VLOOKUP(G5,'MASTER DATA'!C:J,8,FALSE))</f>
        <v>3353</v>
      </c>
      <c r="K5" s="10" t="str">
        <f>IF(I5="","",VLOOKUP(I5,'MASTER DATA'!F:G,2,FALSE ))</f>
        <v>Ankur Khole</v>
      </c>
      <c r="L5" s="10">
        <f>IF(K5="","",VLOOKUP(K5,'MASTER DATA'!G:K,5,FALSE))</f>
        <v>3052</v>
      </c>
      <c r="M5" s="10" t="str">
        <f>IF(G5="","",VLOOKUP(G5,'MASTER DATA'!C:L,10,0))</f>
        <v>Ranjan Somani</v>
      </c>
      <c r="N5" s="5" t="str">
        <f>VLOOKUP(G5,'MASTER DATA'!C:I,7,0)</f>
        <v>Manoj Chauhan</v>
      </c>
      <c r="O5" s="5" t="s">
        <v>32</v>
      </c>
      <c r="P5" s="5" t="str">
        <f t="shared" si="0"/>
        <v>Done</v>
      </c>
      <c r="Q5" s="7">
        <v>45498</v>
      </c>
      <c r="R5" s="9"/>
      <c r="S5" s="8" t="s">
        <v>27</v>
      </c>
      <c r="T5" s="8">
        <v>999999</v>
      </c>
      <c r="U5" s="7">
        <v>45511</v>
      </c>
      <c r="V5" s="5"/>
      <c r="W5" s="7"/>
      <c r="X5" s="5" t="str">
        <f t="shared" si="1"/>
        <v/>
      </c>
      <c r="Y5" s="7"/>
      <c r="Z5" s="7"/>
      <c r="AA5" s="5" t="str">
        <f>IF(AND(ISBLANK(Y5), ISBLANK(Z5)), "", IF(AND(NOT(ISBLANK(Y5)), ISBLANK(Z5)), "Pending", IF(AND(ISBLANK(Y5), NOT(ISBLANK(Z5))), "Received", "Received")))</f>
        <v/>
      </c>
      <c r="AB5" s="7"/>
      <c r="AC5" s="7"/>
      <c r="AD5" s="5"/>
      <c r="AE5" s="5"/>
      <c r="AF5" s="6" t="s">
        <v>55</v>
      </c>
      <c r="AG5" s="5" t="s">
        <v>625</v>
      </c>
      <c r="AH5" s="5">
        <f t="shared" si="2"/>
        <v>1</v>
      </c>
      <c r="AI5" s="5" t="str">
        <f t="shared" si="3"/>
        <v>-</v>
      </c>
      <c r="AJ5" s="5" t="str">
        <f t="shared" si="4"/>
        <v>-</v>
      </c>
    </row>
    <row r="6" spans="1:37" x14ac:dyDescent="0.25">
      <c r="A6" s="5">
        <v>5</v>
      </c>
      <c r="B6" s="130">
        <v>9109</v>
      </c>
      <c r="C6" s="14">
        <v>45485</v>
      </c>
      <c r="D6" s="5" t="str">
        <f t="shared" ref="D6" si="5">IF(C6="","",TEXT(C6,"mmm"))</f>
        <v>Jul</v>
      </c>
      <c r="E6" s="8" t="s">
        <v>18</v>
      </c>
      <c r="F6" s="13" t="s">
        <v>658</v>
      </c>
      <c r="G6" s="12">
        <v>2006</v>
      </c>
      <c r="H6" s="11" t="str">
        <f>IF(G6="","",VLOOKUP(G6,'MASTER DATA'!C:D,2,FALSE ))</f>
        <v>Deepak Kumar Suthar</v>
      </c>
      <c r="I6" s="10" t="str">
        <f>IF(G6="","",VLOOKUP(G6,'MASTER DATA'!C:F,4,FALSE ))</f>
        <v>Devendra Chouhan</v>
      </c>
      <c r="J6" s="10">
        <f>IF(G6="","",VLOOKUP(G6,'MASTER DATA'!C:J,8,FALSE))</f>
        <v>2002</v>
      </c>
      <c r="K6" s="10" t="str">
        <f>IF(I6="","",VLOOKUP(I6,'MASTER DATA'!F:G,2,FALSE ))</f>
        <v>TBI (Ratlam)</v>
      </c>
      <c r="L6" s="10" t="str">
        <f>IF(K6="","",VLOOKUP(K6,'MASTER DATA'!G:K,5,FALSE))</f>
        <v>TBI (Ratlam)</v>
      </c>
      <c r="M6" s="10" t="str">
        <f>IF(G6="","",VLOOKUP(G6,'MASTER DATA'!C:L,10,0))</f>
        <v>Ranjan Somani</v>
      </c>
      <c r="N6" s="5" t="str">
        <f>VLOOKUP(G6,'MASTER DATA'!C:I,7,0)</f>
        <v>Manoj Chauhan</v>
      </c>
      <c r="O6" s="5" t="s">
        <v>52</v>
      </c>
      <c r="P6" s="5" t="str">
        <f t="shared" si="0"/>
        <v>Done</v>
      </c>
      <c r="Q6" s="7">
        <v>45488</v>
      </c>
      <c r="R6" s="9"/>
      <c r="S6" s="8" t="s">
        <v>51</v>
      </c>
      <c r="T6" s="8">
        <v>400000</v>
      </c>
      <c r="U6" s="7">
        <v>45512</v>
      </c>
      <c r="V6" s="5">
        <v>250000</v>
      </c>
      <c r="W6" s="7">
        <v>45512</v>
      </c>
      <c r="X6" s="5" t="str">
        <f t="shared" si="1"/>
        <v>Aug</v>
      </c>
      <c r="Y6" s="7"/>
      <c r="Z6" s="7"/>
      <c r="AA6" s="5" t="str">
        <f>IF(AND(ISBLANK(Y6), ISBLANK(Z6)), "", IF(AND(NOT(ISBLANK(Y6)), ISBLANK(Z6)), "Pending", IF(AND(ISBLANK(Y6), NOT(ISBLANK(Z6))), "Received", "Received")))</f>
        <v/>
      </c>
      <c r="AB6" s="7"/>
      <c r="AC6" s="7"/>
      <c r="AD6" s="5"/>
      <c r="AE6" s="5"/>
      <c r="AF6" s="6"/>
      <c r="AG6" s="5"/>
      <c r="AH6" s="5">
        <f t="shared" si="2"/>
        <v>3</v>
      </c>
      <c r="AI6" s="5">
        <f t="shared" si="3"/>
        <v>27</v>
      </c>
      <c r="AJ6" s="5" t="str">
        <f t="shared" si="4"/>
        <v>-</v>
      </c>
    </row>
    <row r="7" spans="1:37" x14ac:dyDescent="0.25">
      <c r="A7" s="5">
        <v>6</v>
      </c>
      <c r="B7" s="130">
        <v>9374</v>
      </c>
      <c r="C7" s="14">
        <v>45498</v>
      </c>
      <c r="D7" s="5" t="str">
        <f t="shared" ref="D7" si="6">IF(C7="","",TEXT(C7,"mmm"))</f>
        <v>Jul</v>
      </c>
      <c r="E7" s="8" t="s">
        <v>485</v>
      </c>
      <c r="F7" s="13" t="s">
        <v>656</v>
      </c>
      <c r="G7" s="12">
        <v>3411</v>
      </c>
      <c r="H7" s="11" t="str">
        <f>IF(G7="","",VLOOKUP(G7,'MASTER DATA'!C:D,2,FALSE ))</f>
        <v>Hemant Patidar</v>
      </c>
      <c r="I7" s="10" t="str">
        <f>IF(G7="","",VLOOKUP(G7,'MASTER DATA'!C:F,4,FALSE ))</f>
        <v>Pawan Yadav</v>
      </c>
      <c r="J7" s="10">
        <f>IF(G7="","",VLOOKUP(G7,'MASTER DATA'!C:J,8,FALSE))</f>
        <v>3373</v>
      </c>
      <c r="K7" s="10" t="str">
        <f>IF(I7="","",VLOOKUP(I7,'MASTER DATA'!F:G,2,FALSE ))</f>
        <v>Ankur Khole</v>
      </c>
      <c r="L7" s="10">
        <f>IF(K7="","",VLOOKUP(K7,'MASTER DATA'!G:K,5,FALSE))</f>
        <v>3052</v>
      </c>
      <c r="M7" s="10" t="str">
        <f>IF(G7="","",VLOOKUP(G7,'MASTER DATA'!C:L,10,0))</f>
        <v>Ranjan Somani</v>
      </c>
      <c r="N7" s="5" t="str">
        <f>VLOOKUP(G7,'MASTER DATA'!C:I,7,0)</f>
        <v>Manoj Chauhan</v>
      </c>
      <c r="O7" s="5" t="s">
        <v>16</v>
      </c>
      <c r="P7" s="5" t="str">
        <f t="shared" si="0"/>
        <v>Done</v>
      </c>
      <c r="Q7" s="7">
        <v>45512</v>
      </c>
      <c r="R7" s="9"/>
      <c r="S7" s="8" t="s">
        <v>45</v>
      </c>
      <c r="T7" s="8">
        <v>300000</v>
      </c>
      <c r="U7" s="7">
        <v>45500</v>
      </c>
      <c r="V7" s="5"/>
      <c r="W7" s="7"/>
      <c r="X7" s="5"/>
      <c r="Y7" s="7"/>
      <c r="Z7" s="7"/>
      <c r="AA7" s="5"/>
      <c r="AB7" s="7"/>
      <c r="AC7" s="7"/>
      <c r="AD7" s="5"/>
      <c r="AE7" s="5"/>
      <c r="AF7" s="6"/>
      <c r="AG7" s="5"/>
      <c r="AH7" s="5">
        <f t="shared" si="2"/>
        <v>14</v>
      </c>
      <c r="AI7" s="5" t="str">
        <f t="shared" si="3"/>
        <v>-</v>
      </c>
      <c r="AJ7" s="5" t="str">
        <f t="shared" si="4"/>
        <v>-</v>
      </c>
    </row>
    <row r="8" spans="1:37" x14ac:dyDescent="0.25">
      <c r="A8" s="5">
        <v>7</v>
      </c>
      <c r="B8" s="130">
        <v>9504</v>
      </c>
      <c r="C8" s="14">
        <v>45497</v>
      </c>
      <c r="D8" s="5" t="s">
        <v>548</v>
      </c>
      <c r="E8" s="8" t="s">
        <v>13</v>
      </c>
      <c r="F8" s="13" t="s">
        <v>555</v>
      </c>
      <c r="G8" s="12">
        <v>3178</v>
      </c>
      <c r="H8" s="11" t="str">
        <f>IF(G8="","",VLOOKUP(G8,'MASTER DATA'!C:D,2,FALSE ))</f>
        <v>Akash Chouhan</v>
      </c>
      <c r="I8" s="10" t="str">
        <f>IF(G8="","",VLOOKUP(G8,'MASTER DATA'!C:F,4,FALSE ))</f>
        <v>Ankur Khole</v>
      </c>
      <c r="J8" s="10">
        <f>IF(G8="","",VLOOKUP(G8,'MASTER DATA'!C:J,8,FALSE))</f>
        <v>3052</v>
      </c>
      <c r="K8" s="10" t="str">
        <f>IF(I8="","",VLOOKUP(I8,'MASTER DATA'!F:G,2,FALSE ))</f>
        <v>Ankur Khole</v>
      </c>
      <c r="L8" s="10">
        <f>IF(K8="","",VLOOKUP(K8,'MASTER DATA'!G:K,5,FALSE))</f>
        <v>3052</v>
      </c>
      <c r="M8" s="10" t="str">
        <f>IF(G8="","",VLOOKUP(G8,'MASTER DATA'!C:L,10,0))</f>
        <v>Ranjan Somani</v>
      </c>
      <c r="N8" s="5" t="str">
        <f>VLOOKUP(G8,'MASTER DATA'!C:I,7,0)</f>
        <v>Manoj Chauhan</v>
      </c>
      <c r="O8" s="5" t="s">
        <v>32</v>
      </c>
      <c r="P8" s="5" t="str">
        <f t="shared" si="0"/>
        <v>Done</v>
      </c>
      <c r="Q8" s="7">
        <v>45500</v>
      </c>
      <c r="R8" s="9"/>
      <c r="S8" s="8" t="s">
        <v>27</v>
      </c>
      <c r="T8" s="8">
        <v>500000</v>
      </c>
      <c r="U8" s="7">
        <v>45510</v>
      </c>
      <c r="V8" s="5"/>
      <c r="W8" s="7"/>
      <c r="X8" s="5" t="str">
        <f t="shared" si="1"/>
        <v/>
      </c>
      <c r="Y8" s="7">
        <v>45501</v>
      </c>
      <c r="Z8" s="7">
        <v>45503</v>
      </c>
      <c r="AA8" s="5" t="str">
        <f t="shared" ref="AA8:AA39" si="7">IF(AND(ISBLANK(Y8), ISBLANK(Z8)), "", IF(AND(NOT(ISBLANK(Y8)), ISBLANK(Z8)), "Pending", IF(AND(ISBLANK(Y8), NOT(ISBLANK(Z8))), "Received", "Received")))</f>
        <v>Received</v>
      </c>
      <c r="AB8" s="7"/>
      <c r="AC8" s="7"/>
      <c r="AD8" s="5"/>
      <c r="AE8" s="5"/>
      <c r="AF8" s="6" t="s">
        <v>26</v>
      </c>
      <c r="AG8" s="5" t="s">
        <v>601</v>
      </c>
      <c r="AH8" s="5">
        <f t="shared" si="2"/>
        <v>3</v>
      </c>
      <c r="AI8" s="5" t="str">
        <f t="shared" si="3"/>
        <v>-</v>
      </c>
      <c r="AJ8" s="5" t="str">
        <f t="shared" si="4"/>
        <v>-</v>
      </c>
    </row>
    <row r="9" spans="1:37" x14ac:dyDescent="0.25">
      <c r="A9" s="5">
        <v>8</v>
      </c>
      <c r="B9" s="130">
        <v>9030</v>
      </c>
      <c r="C9" s="14">
        <v>45483</v>
      </c>
      <c r="D9" s="5" t="str">
        <f t="shared" ref="D9:D11" si="8">IF(C9="","",TEXT(C9,"mmm"))</f>
        <v>Jul</v>
      </c>
      <c r="E9" s="8" t="s">
        <v>481</v>
      </c>
      <c r="F9" s="13" t="s">
        <v>594</v>
      </c>
      <c r="G9" s="12">
        <v>1764</v>
      </c>
      <c r="H9" s="11" t="str">
        <f>IF(G9="","",VLOOKUP(G9,'MASTER DATA'!C:D,2,FALSE ))</f>
        <v>Birbal Ram</v>
      </c>
      <c r="I9" s="10" t="str">
        <f>IF(G9="","",VLOOKUP(G9,'MASTER DATA'!C:F,4,FALSE ))</f>
        <v>Nemichand Nain</v>
      </c>
      <c r="J9" s="10">
        <f>IF(G9="","",VLOOKUP(G9,'MASTER DATA'!C:J,8,FALSE))</f>
        <v>1762</v>
      </c>
      <c r="K9" s="10" t="str">
        <f>IF(I9="","",VLOOKUP(I9,'MASTER DATA'!F:G,2,FALSE ))</f>
        <v>Santosh Kumar</v>
      </c>
      <c r="L9" s="10">
        <f>IF(K9="","",VLOOKUP(K9,'MASTER DATA'!G:K,5,FALSE))</f>
        <v>1447</v>
      </c>
      <c r="M9" s="10" t="str">
        <f>IF(G9="","",VLOOKUP(G9,'MASTER DATA'!C:L,10,0))</f>
        <v>Mayur Luhadia</v>
      </c>
      <c r="N9" s="5" t="str">
        <f>VLOOKUP(G9,'MASTER DATA'!C:I,7,0)</f>
        <v>Sunil Bagoria</v>
      </c>
      <c r="O9" s="5" t="s">
        <v>58</v>
      </c>
      <c r="P9" s="5" t="str">
        <f t="shared" si="0"/>
        <v>Done</v>
      </c>
      <c r="Q9" s="7">
        <v>45485</v>
      </c>
      <c r="R9" s="9"/>
      <c r="S9" s="8" t="s">
        <v>51</v>
      </c>
      <c r="T9" s="8">
        <v>800000</v>
      </c>
      <c r="U9" s="7">
        <v>45504</v>
      </c>
      <c r="V9" s="5">
        <v>400000</v>
      </c>
      <c r="W9" s="7">
        <v>45504</v>
      </c>
      <c r="X9" s="5" t="str">
        <f t="shared" si="1"/>
        <v>Jul</v>
      </c>
      <c r="Y9" s="7">
        <v>45485</v>
      </c>
      <c r="Z9" s="7">
        <v>45486</v>
      </c>
      <c r="AA9" s="5" t="str">
        <f t="shared" si="7"/>
        <v>Received</v>
      </c>
      <c r="AB9" s="7">
        <v>45505</v>
      </c>
      <c r="AC9" s="7">
        <v>45505</v>
      </c>
      <c r="AD9" s="5" t="s">
        <v>553</v>
      </c>
      <c r="AE9" s="5"/>
      <c r="AF9" s="6"/>
      <c r="AG9" s="5"/>
      <c r="AH9" s="5">
        <f t="shared" si="2"/>
        <v>2</v>
      </c>
      <c r="AI9" s="5">
        <f t="shared" si="3"/>
        <v>21</v>
      </c>
      <c r="AJ9" s="5" t="str">
        <f t="shared" si="4"/>
        <v>-</v>
      </c>
    </row>
    <row r="10" spans="1:37" x14ac:dyDescent="0.25">
      <c r="A10" s="5">
        <v>9</v>
      </c>
      <c r="B10" s="130">
        <v>9248</v>
      </c>
      <c r="C10" s="14">
        <v>45490</v>
      </c>
      <c r="D10" s="5" t="str">
        <f t="shared" si="8"/>
        <v>Jul</v>
      </c>
      <c r="E10" s="8" t="s">
        <v>36</v>
      </c>
      <c r="F10" s="13" t="s">
        <v>602</v>
      </c>
      <c r="G10" s="12">
        <v>3348</v>
      </c>
      <c r="H10" s="11" t="str">
        <f>IF(G10="","",VLOOKUP(G10,'MASTER DATA'!C:D,2,FALSE ))</f>
        <v>Amandeep Singh</v>
      </c>
      <c r="I10" s="10" t="str">
        <f>IF(G10="","",VLOOKUP(G10,'MASTER DATA'!C:F,4,FALSE ))</f>
        <v>Ram Pratap Rathi</v>
      </c>
      <c r="J10" s="10">
        <f>IF(G10="","",VLOOKUP(G10,'MASTER DATA'!C:J,8,FALSE))</f>
        <v>3134</v>
      </c>
      <c r="K10" s="10" t="str">
        <f>IF(I10="","",VLOOKUP(I10,'MASTER DATA'!F:G,2,FALSE ))</f>
        <v>Gurdeep Singh</v>
      </c>
      <c r="L10" s="10">
        <f>IF(K10="","",VLOOKUP(K10,'MASTER DATA'!G:K,5,FALSE))</f>
        <v>3256</v>
      </c>
      <c r="M10" s="10" t="str">
        <f>IF(G10="","",VLOOKUP(G10,'MASTER DATA'!C:L,10,0))</f>
        <v>Mayur Luhadia</v>
      </c>
      <c r="N10" s="5" t="str">
        <f>VLOOKUP(G10,'MASTER DATA'!C:I,7,0)</f>
        <v>Mohan Shankar Sharma</v>
      </c>
      <c r="O10" s="5" t="s">
        <v>545</v>
      </c>
      <c r="P10" s="5" t="str">
        <f t="shared" ref="P10:P11" si="9">IF(O10="","","Done")</f>
        <v>Done</v>
      </c>
      <c r="Q10" s="7">
        <v>45492</v>
      </c>
      <c r="R10" s="9"/>
      <c r="S10" s="8" t="s">
        <v>51</v>
      </c>
      <c r="T10" s="8">
        <v>900000</v>
      </c>
      <c r="U10" s="7">
        <v>45511</v>
      </c>
      <c r="V10" s="5">
        <v>550000</v>
      </c>
      <c r="W10" s="7">
        <v>45511</v>
      </c>
      <c r="X10" s="5" t="str">
        <f t="shared" si="1"/>
        <v>Aug</v>
      </c>
      <c r="Y10" s="7">
        <v>45494</v>
      </c>
      <c r="Z10" s="7">
        <v>45497</v>
      </c>
      <c r="AA10" s="5" t="str">
        <f t="shared" si="7"/>
        <v>Received</v>
      </c>
      <c r="AB10" s="7">
        <v>45495</v>
      </c>
      <c r="AC10" s="7">
        <v>45496</v>
      </c>
      <c r="AD10" s="5" t="s">
        <v>553</v>
      </c>
      <c r="AE10" s="5"/>
      <c r="AF10" s="6"/>
      <c r="AG10" s="5"/>
      <c r="AH10" s="5">
        <f t="shared" si="2"/>
        <v>2</v>
      </c>
      <c r="AI10" s="5">
        <f t="shared" si="3"/>
        <v>21</v>
      </c>
      <c r="AJ10" s="5" t="str">
        <f t="shared" si="4"/>
        <v>-</v>
      </c>
    </row>
    <row r="11" spans="1:37" x14ac:dyDescent="0.25">
      <c r="A11" s="5">
        <v>10</v>
      </c>
      <c r="B11" s="130">
        <v>9359</v>
      </c>
      <c r="C11" s="14">
        <v>45493</v>
      </c>
      <c r="D11" s="5" t="str">
        <f t="shared" si="8"/>
        <v>Jul</v>
      </c>
      <c r="E11" s="8" t="s">
        <v>6</v>
      </c>
      <c r="F11" s="13" t="s">
        <v>598</v>
      </c>
      <c r="G11" s="12">
        <v>3325</v>
      </c>
      <c r="H11" s="11" t="str">
        <f>IF(G11="","",VLOOKUP(G11,'MASTER DATA'!C:D,2,FALSE ))</f>
        <v>Vikas Kumar</v>
      </c>
      <c r="I11" s="10" t="str">
        <f>IF(G11="","",VLOOKUP(G11,'MASTER DATA'!C:F,4,FALSE ))</f>
        <v>Vikash kumar</v>
      </c>
      <c r="J11" s="10">
        <f>IF(G11="","",VLOOKUP(G11,'MASTER DATA'!C:J,8,FALSE))</f>
        <v>3237</v>
      </c>
      <c r="K11" s="10" t="str">
        <f>IF(I11="","",VLOOKUP(I11,'MASTER DATA'!F:G,2,FALSE ))</f>
        <v>Santosh Kumar</v>
      </c>
      <c r="L11" s="10">
        <f>IF(K11="","",VLOOKUP(K11,'MASTER DATA'!G:K,5,FALSE))</f>
        <v>1447</v>
      </c>
      <c r="M11" s="10" t="str">
        <f>IF(G11="","",VLOOKUP(G11,'MASTER DATA'!C:L,10,0))</f>
        <v>Mayur Luhadia</v>
      </c>
      <c r="N11" s="5" t="str">
        <f>VLOOKUP(G11,'MASTER DATA'!C:I,7,0)</f>
        <v>Sunil Bagoria</v>
      </c>
      <c r="O11" s="5" t="s">
        <v>599</v>
      </c>
      <c r="P11" s="5" t="str">
        <f t="shared" si="9"/>
        <v>Done</v>
      </c>
      <c r="Q11" s="7">
        <v>45495</v>
      </c>
      <c r="R11" s="9"/>
      <c r="S11" s="8" t="s">
        <v>51</v>
      </c>
      <c r="T11" s="8">
        <v>700000</v>
      </c>
      <c r="U11" s="7">
        <v>45497</v>
      </c>
      <c r="V11" s="5">
        <v>380000</v>
      </c>
      <c r="W11" s="7">
        <v>45497</v>
      </c>
      <c r="X11" s="5" t="str">
        <f t="shared" si="1"/>
        <v>Jul</v>
      </c>
      <c r="Y11" s="7">
        <v>45495</v>
      </c>
      <c r="Z11" s="7">
        <v>45497</v>
      </c>
      <c r="AA11" s="5" t="str">
        <f t="shared" si="7"/>
        <v>Received</v>
      </c>
      <c r="AB11" s="7">
        <v>45498</v>
      </c>
      <c r="AC11" s="7">
        <v>45498</v>
      </c>
      <c r="AD11" s="5" t="s">
        <v>553</v>
      </c>
      <c r="AE11" s="5"/>
      <c r="AF11" s="6"/>
      <c r="AG11" s="5"/>
      <c r="AH11" s="5">
        <f t="shared" si="2"/>
        <v>2</v>
      </c>
      <c r="AI11" s="5">
        <f t="shared" si="3"/>
        <v>4</v>
      </c>
      <c r="AJ11" s="5" t="str">
        <f t="shared" si="4"/>
        <v>-</v>
      </c>
    </row>
    <row r="12" spans="1:37" x14ac:dyDescent="0.25">
      <c r="A12" s="5">
        <v>11</v>
      </c>
      <c r="B12" s="130">
        <v>9620</v>
      </c>
      <c r="C12" s="14">
        <v>45502</v>
      </c>
      <c r="D12" s="5" t="s">
        <v>548</v>
      </c>
      <c r="E12" s="8" t="s">
        <v>79</v>
      </c>
      <c r="F12" s="13" t="s">
        <v>556</v>
      </c>
      <c r="G12" s="12">
        <v>3329</v>
      </c>
      <c r="H12" s="11" t="str">
        <f>IF(G12="","",VLOOKUP(G12,'MASTER DATA'!C:D,2,FALSE ))</f>
        <v>Koshal Kumawat</v>
      </c>
      <c r="I12" s="10" t="str">
        <f>IF(G12="","",VLOOKUP(G12,'MASTER DATA'!C:F,4,FALSE ))</f>
        <v>Vanshraj Gurjar</v>
      </c>
      <c r="J12" s="10">
        <f>IF(G12="","",VLOOKUP(G12,'MASTER DATA'!C:J,8,FALSE))</f>
        <v>3426</v>
      </c>
      <c r="K12" s="10" t="str">
        <f>IF(I12="","",VLOOKUP(I12,'MASTER DATA'!F:G,2,FALSE ))</f>
        <v>Kamlesh Sharma</v>
      </c>
      <c r="L12" s="10">
        <f>IF(K12="","",VLOOKUP(K12,'MASTER DATA'!G:K,5,FALSE))</f>
        <v>1140</v>
      </c>
      <c r="M12" s="10" t="str">
        <f>IF(G12="","",VLOOKUP(G12,'MASTER DATA'!C:L,10,0))</f>
        <v>Pawan Khandelwal</v>
      </c>
      <c r="N12" s="5" t="str">
        <f>VLOOKUP(G12,'MASTER DATA'!C:I,7,0)</f>
        <v>Sanjay Arya</v>
      </c>
      <c r="O12" s="5" t="s">
        <v>559</v>
      </c>
      <c r="P12" s="5" t="s">
        <v>550</v>
      </c>
      <c r="Q12" s="7">
        <v>45503</v>
      </c>
      <c r="R12" s="9"/>
      <c r="S12" s="8" t="s">
        <v>27</v>
      </c>
      <c r="T12" s="8">
        <v>990000</v>
      </c>
      <c r="U12" s="7">
        <v>45504</v>
      </c>
      <c r="V12" s="5"/>
      <c r="W12" s="7"/>
      <c r="X12" s="5" t="str">
        <f t="shared" si="1"/>
        <v/>
      </c>
      <c r="Y12" s="7">
        <v>45502</v>
      </c>
      <c r="Z12" s="7">
        <v>45504</v>
      </c>
      <c r="AA12" s="5" t="str">
        <f t="shared" si="7"/>
        <v>Received</v>
      </c>
      <c r="AB12" s="7">
        <v>45502</v>
      </c>
      <c r="AC12" s="7">
        <v>45504</v>
      </c>
      <c r="AD12" s="5" t="s">
        <v>553</v>
      </c>
      <c r="AE12" s="5"/>
      <c r="AF12" s="6" t="s">
        <v>55</v>
      </c>
      <c r="AG12" s="5" t="s">
        <v>597</v>
      </c>
      <c r="AH12" s="5">
        <f t="shared" si="2"/>
        <v>1</v>
      </c>
      <c r="AI12" s="5" t="str">
        <f t="shared" si="3"/>
        <v>-</v>
      </c>
      <c r="AJ12" s="5" t="str">
        <f t="shared" si="4"/>
        <v>-</v>
      </c>
    </row>
    <row r="13" spans="1:37" x14ac:dyDescent="0.25">
      <c r="A13" s="5">
        <v>12</v>
      </c>
      <c r="B13" s="130">
        <v>9621</v>
      </c>
      <c r="C13" s="14">
        <v>45503</v>
      </c>
      <c r="D13" s="5" t="s">
        <v>548</v>
      </c>
      <c r="E13" s="8" t="s">
        <v>60</v>
      </c>
      <c r="F13" s="13" t="s">
        <v>557</v>
      </c>
      <c r="G13" s="12">
        <v>1147</v>
      </c>
      <c r="H13" s="11" t="str">
        <f>IF(G13="","",VLOOKUP(G13,'MASTER DATA'!C:D,2,FALSE ))</f>
        <v>Jeetu Bairwa</v>
      </c>
      <c r="I13" s="10" t="str">
        <f>IF(G13="","",VLOOKUP(G13,'MASTER DATA'!C:F,4,FALSE ))</f>
        <v>TBI (Sanganer)</v>
      </c>
      <c r="J13" s="10" t="str">
        <f>IF(G13="","",VLOOKUP(G13,'MASTER DATA'!C:J,8,FALSE))</f>
        <v>TBI (Sanganer)</v>
      </c>
      <c r="K13" s="10" t="str">
        <f>IF(I13="","",VLOOKUP(I13,'MASTER DATA'!F:G,2,FALSE ))</f>
        <v>Kamlesh Sharma</v>
      </c>
      <c r="L13" s="10">
        <f>IF(K13="","",VLOOKUP(K13,'MASTER DATA'!G:K,5,FALSE))</f>
        <v>1140</v>
      </c>
      <c r="M13" s="10" t="str">
        <f>IF(G13="","",VLOOKUP(G13,'MASTER DATA'!C:L,10,0))</f>
        <v>Pawan Khandelwal</v>
      </c>
      <c r="N13" s="5" t="str">
        <f>VLOOKUP(G13,'MASTER DATA'!C:I,7,0)</f>
        <v>Sanjay Arya</v>
      </c>
      <c r="O13" s="5" t="s">
        <v>34</v>
      </c>
      <c r="P13" s="5" t="s">
        <v>550</v>
      </c>
      <c r="Q13" s="7">
        <v>45504</v>
      </c>
      <c r="R13" s="9" t="s">
        <v>560</v>
      </c>
      <c r="S13" s="8" t="s">
        <v>21</v>
      </c>
      <c r="T13" s="8">
        <v>5000000</v>
      </c>
      <c r="U13" s="7"/>
      <c r="V13" s="5"/>
      <c r="W13" s="7"/>
      <c r="X13" s="5" t="str">
        <f t="shared" si="1"/>
        <v/>
      </c>
      <c r="Y13" s="7">
        <v>45504</v>
      </c>
      <c r="Z13" s="7"/>
      <c r="AA13" s="5" t="str">
        <f t="shared" si="7"/>
        <v>Pending</v>
      </c>
      <c r="AB13" s="7">
        <v>45504</v>
      </c>
      <c r="AC13" s="7"/>
      <c r="AD13" s="5" t="s">
        <v>561</v>
      </c>
      <c r="AE13" s="5"/>
      <c r="AF13" s="6"/>
      <c r="AG13" s="5"/>
      <c r="AH13" s="5">
        <f t="shared" si="2"/>
        <v>1</v>
      </c>
      <c r="AI13" s="5" t="str">
        <f t="shared" si="3"/>
        <v>-</v>
      </c>
      <c r="AJ13" s="5" t="str">
        <f t="shared" si="4"/>
        <v>-</v>
      </c>
    </row>
    <row r="14" spans="1:37" x14ac:dyDescent="0.25">
      <c r="A14" s="5">
        <v>13</v>
      </c>
      <c r="B14" s="130">
        <v>9651</v>
      </c>
      <c r="C14" s="14">
        <v>45504</v>
      </c>
      <c r="D14" s="5" t="s">
        <v>548</v>
      </c>
      <c r="E14" s="8" t="s">
        <v>18</v>
      </c>
      <c r="F14" s="13" t="s">
        <v>558</v>
      </c>
      <c r="G14" s="12">
        <v>2006</v>
      </c>
      <c r="H14" s="11" t="str">
        <f>IF(G14="","",VLOOKUP(G14,'MASTER DATA'!C:D,2,FALSE ))</f>
        <v>Deepak Kumar Suthar</v>
      </c>
      <c r="I14" s="10" t="str">
        <f>IF(G14="","",VLOOKUP(G14,'MASTER DATA'!C:F,4,FALSE ))</f>
        <v>Devendra Chouhan</v>
      </c>
      <c r="J14" s="10">
        <f>IF(G14="","",VLOOKUP(G14,'MASTER DATA'!C:J,8,FALSE))</f>
        <v>2002</v>
      </c>
      <c r="K14" s="10" t="str">
        <f>IF(I14="","",VLOOKUP(I14,'MASTER DATA'!F:G,2,FALSE ))</f>
        <v>TBI (Ratlam)</v>
      </c>
      <c r="L14" s="10" t="str">
        <f>IF(K14="","",VLOOKUP(K14,'MASTER DATA'!G:K,5,FALSE))</f>
        <v>TBI (Ratlam)</v>
      </c>
      <c r="M14" s="10" t="str">
        <f>IF(G14="","",VLOOKUP(G14,'MASTER DATA'!C:L,10,0))</f>
        <v>Ranjan Somani</v>
      </c>
      <c r="N14" s="5" t="str">
        <f>VLOOKUP(G14,'MASTER DATA'!C:I,7,0)</f>
        <v>Manoj Chauhan</v>
      </c>
      <c r="O14" s="5" t="s">
        <v>52</v>
      </c>
      <c r="P14" s="5" t="s">
        <v>550</v>
      </c>
      <c r="Q14" s="7">
        <v>45505</v>
      </c>
      <c r="R14" s="9"/>
      <c r="S14" s="8" t="s">
        <v>51</v>
      </c>
      <c r="T14" s="8">
        <v>600000</v>
      </c>
      <c r="U14" s="7">
        <v>45511</v>
      </c>
      <c r="V14" s="5">
        <v>500000</v>
      </c>
      <c r="W14" s="7">
        <v>45511</v>
      </c>
      <c r="X14" s="5" t="str">
        <f t="shared" si="1"/>
        <v>Aug</v>
      </c>
      <c r="Y14" s="7">
        <v>45506</v>
      </c>
      <c r="Z14" s="7">
        <v>45510</v>
      </c>
      <c r="AA14" s="5" t="str">
        <f t="shared" si="7"/>
        <v>Received</v>
      </c>
      <c r="AB14" s="7"/>
      <c r="AC14" s="7"/>
      <c r="AD14" s="5"/>
      <c r="AE14" s="5"/>
      <c r="AF14" s="6"/>
      <c r="AG14" s="5"/>
      <c r="AH14" s="5">
        <f t="shared" si="2"/>
        <v>1</v>
      </c>
      <c r="AI14" s="5">
        <f t="shared" si="3"/>
        <v>7</v>
      </c>
      <c r="AJ14" s="5" t="str">
        <f t="shared" si="4"/>
        <v>-</v>
      </c>
    </row>
    <row r="15" spans="1:37" x14ac:dyDescent="0.25">
      <c r="A15" s="5">
        <v>14</v>
      </c>
      <c r="B15" s="130">
        <v>9495</v>
      </c>
      <c r="C15" s="14">
        <v>45505</v>
      </c>
      <c r="D15" s="5" t="str">
        <f t="shared" ref="D15:D46" si="10">IF(C15="","",TEXT(C15,"mmm"))</f>
        <v>Aug</v>
      </c>
      <c r="E15" s="8" t="s">
        <v>19</v>
      </c>
      <c r="F15" s="13" t="s">
        <v>523</v>
      </c>
      <c r="G15" s="12">
        <v>1745</v>
      </c>
      <c r="H15" s="11" t="str">
        <f>IF(G15="","",VLOOKUP(G15,'MASTER DATA'!C:D,2,FALSE ))</f>
        <v>Rakesh Jakhar</v>
      </c>
      <c r="I15" s="10" t="str">
        <f>IF(G15="","",VLOOKUP(G15,'MASTER DATA'!C:F,4,FALSE ))</f>
        <v>Anupam Delu</v>
      </c>
      <c r="J15" s="10">
        <f>IF(G15="","",VLOOKUP(G15,'MASTER DATA'!C:J,8,FALSE))</f>
        <v>3392</v>
      </c>
      <c r="K15" s="10" t="str">
        <f>IF(I15="","",VLOOKUP(I15,'MASTER DATA'!F:G,2,FALSE ))</f>
        <v>Gajanand Purohit</v>
      </c>
      <c r="L15" s="10">
        <f>IF(K15="","",VLOOKUP(K15,'MASTER DATA'!G:K,5,FALSE))</f>
        <v>1596</v>
      </c>
      <c r="M15" s="10" t="str">
        <f>IF(G15="","",VLOOKUP(G15,'MASTER DATA'!C:L,10,0))</f>
        <v>Mayur Luhadia</v>
      </c>
      <c r="N15" s="5" t="str">
        <f>VLOOKUP(G15,'MASTER DATA'!C:I,7,0)</f>
        <v>Pradeep kumar Rohlan</v>
      </c>
      <c r="O15" s="5" t="s">
        <v>565</v>
      </c>
      <c r="P15" s="5" t="str">
        <f t="shared" ref="P15:P46" si="11">IF(O15="","","Done")</f>
        <v>Done</v>
      </c>
      <c r="Q15" s="7">
        <v>45510</v>
      </c>
      <c r="R15" s="9" t="s">
        <v>621</v>
      </c>
      <c r="S15" s="8" t="s">
        <v>21</v>
      </c>
      <c r="T15" s="8">
        <v>600000</v>
      </c>
      <c r="U15" s="7"/>
      <c r="V15" s="5"/>
      <c r="W15" s="7"/>
      <c r="X15" s="5" t="str">
        <f t="shared" si="1"/>
        <v/>
      </c>
      <c r="Y15" s="7"/>
      <c r="Z15" s="7"/>
      <c r="AA15" s="5" t="str">
        <f t="shared" si="7"/>
        <v/>
      </c>
      <c r="AB15" s="7"/>
      <c r="AC15" s="7"/>
      <c r="AD15" s="5"/>
      <c r="AE15" s="7"/>
      <c r="AF15" s="6"/>
      <c r="AG15" s="5"/>
      <c r="AH15" s="5">
        <f t="shared" si="2"/>
        <v>5</v>
      </c>
      <c r="AI15" s="5" t="str">
        <f t="shared" si="3"/>
        <v>-</v>
      </c>
      <c r="AJ15" s="5" t="str">
        <f t="shared" si="4"/>
        <v>-</v>
      </c>
    </row>
    <row r="16" spans="1:37" x14ac:dyDescent="0.25">
      <c r="A16" s="5">
        <v>15</v>
      </c>
      <c r="B16" s="130">
        <v>9652</v>
      </c>
      <c r="C16" s="14">
        <v>45505</v>
      </c>
      <c r="D16" s="5" t="str">
        <f t="shared" si="10"/>
        <v>Aug</v>
      </c>
      <c r="E16" s="8" t="s">
        <v>481</v>
      </c>
      <c r="F16" s="13" t="s">
        <v>524</v>
      </c>
      <c r="G16" s="12">
        <v>3440</v>
      </c>
      <c r="H16" s="11" t="str">
        <f>IF(G16="","",VLOOKUP(G16,'MASTER DATA'!C:D,2,FALSE ))</f>
        <v>Dinesh Kumar</v>
      </c>
      <c r="I16" s="10" t="str">
        <f>IF(G16="","",VLOOKUP(G16,'MASTER DATA'!C:F,4,FALSE ))</f>
        <v>Nemichand Nain</v>
      </c>
      <c r="J16" s="10">
        <f>IF(G16="","",VLOOKUP(G16,'MASTER DATA'!C:J,8,FALSE))</f>
        <v>1762</v>
      </c>
      <c r="K16" s="10" t="str">
        <f>IF(I16="","",VLOOKUP(I16,'MASTER DATA'!F:G,2,FALSE ))</f>
        <v>Santosh Kumar</v>
      </c>
      <c r="L16" s="10">
        <f>IF(K16="","",VLOOKUP(K16,'MASTER DATA'!G:K,5,FALSE))</f>
        <v>1447</v>
      </c>
      <c r="M16" s="10" t="str">
        <f>IF(G16="","",VLOOKUP(G16,'MASTER DATA'!C:L,10,0))</f>
        <v>Mayur Luhadia</v>
      </c>
      <c r="N16" s="5" t="str">
        <f>VLOOKUP(G16,'MASTER DATA'!C:I,7,0)</f>
        <v>Sunil Bagoria</v>
      </c>
      <c r="O16" s="5" t="s">
        <v>61</v>
      </c>
      <c r="P16" s="5" t="str">
        <f t="shared" si="11"/>
        <v>Done</v>
      </c>
      <c r="Q16" s="7">
        <v>45512</v>
      </c>
      <c r="R16" s="9" t="s">
        <v>621</v>
      </c>
      <c r="S16" s="8" t="s">
        <v>21</v>
      </c>
      <c r="T16" s="8">
        <v>700000</v>
      </c>
      <c r="U16" s="7">
        <v>45507</v>
      </c>
      <c r="V16" s="5"/>
      <c r="W16" s="7"/>
      <c r="X16" s="5" t="str">
        <f t="shared" si="1"/>
        <v/>
      </c>
      <c r="Y16" s="7"/>
      <c r="Z16" s="7"/>
      <c r="AA16" s="5" t="str">
        <f t="shared" si="7"/>
        <v/>
      </c>
      <c r="AB16" s="7"/>
      <c r="AC16" s="7"/>
      <c r="AD16" s="5"/>
      <c r="AE16" s="7"/>
      <c r="AF16" s="6"/>
      <c r="AG16" s="5"/>
      <c r="AH16" s="5">
        <f t="shared" si="2"/>
        <v>7</v>
      </c>
      <c r="AI16" s="5" t="str">
        <f t="shared" si="3"/>
        <v>-</v>
      </c>
      <c r="AJ16" s="5" t="str">
        <f t="shared" si="4"/>
        <v>-</v>
      </c>
    </row>
    <row r="17" spans="1:36" x14ac:dyDescent="0.25">
      <c r="A17" s="5">
        <v>16</v>
      </c>
      <c r="B17" s="130">
        <v>8482</v>
      </c>
      <c r="C17" s="14">
        <v>45505</v>
      </c>
      <c r="D17" s="5" t="str">
        <f t="shared" si="10"/>
        <v>Aug</v>
      </c>
      <c r="E17" s="8" t="s">
        <v>467</v>
      </c>
      <c r="F17" s="13" t="s">
        <v>525</v>
      </c>
      <c r="G17" s="12">
        <v>1821</v>
      </c>
      <c r="H17" s="11" t="str">
        <f>IF(G17="","",VLOOKUP(G17,'MASTER DATA'!C:D,2,FALSE ))</f>
        <v>Dinesh Kumar</v>
      </c>
      <c r="I17" s="10" t="str">
        <f>IF(G17="","",VLOOKUP(G17,'MASTER DATA'!C:F,4,FALSE ))</f>
        <v>Bharat Singh Kuntal</v>
      </c>
      <c r="J17" s="10">
        <f>IF(G17="","",VLOOKUP(G17,'MASTER DATA'!C:J,8,FALSE))</f>
        <v>1772</v>
      </c>
      <c r="K17" s="10" t="str">
        <f>IF(I17="","",VLOOKUP(I17,'MASTER DATA'!F:G,2,FALSE ))</f>
        <v>Bharat Singh Kuntal</v>
      </c>
      <c r="L17" s="10">
        <f>IF(K17="","",VLOOKUP(K17,'MASTER DATA'!G:K,5,FALSE))</f>
        <v>1772</v>
      </c>
      <c r="M17" s="10" t="str">
        <f>IF(G17="","",VLOOKUP(G17,'MASTER DATA'!C:L,10,0))</f>
        <v>Mayur Luhadia</v>
      </c>
      <c r="N17" s="5" t="str">
        <f>VLOOKUP(G17,'MASTER DATA'!C:I,7,0)</f>
        <v>Sunil Bagoria</v>
      </c>
      <c r="O17" s="5" t="s">
        <v>58</v>
      </c>
      <c r="P17" s="5" t="str">
        <f t="shared" si="11"/>
        <v>Done</v>
      </c>
      <c r="Q17" s="7">
        <v>45506</v>
      </c>
      <c r="R17" s="9"/>
      <c r="S17" s="8" t="s">
        <v>51</v>
      </c>
      <c r="T17" s="8">
        <v>600000</v>
      </c>
      <c r="U17" s="7">
        <v>45510</v>
      </c>
      <c r="V17" s="5">
        <v>300000</v>
      </c>
      <c r="W17" s="7">
        <v>45510</v>
      </c>
      <c r="X17" s="5" t="str">
        <f t="shared" si="1"/>
        <v>Aug</v>
      </c>
      <c r="Y17" s="7">
        <v>45506</v>
      </c>
      <c r="Z17" s="7">
        <v>45507</v>
      </c>
      <c r="AA17" s="5" t="str">
        <f t="shared" si="7"/>
        <v>Received</v>
      </c>
      <c r="AB17" s="7"/>
      <c r="AC17" s="7"/>
      <c r="AD17" s="5"/>
      <c r="AE17" s="7"/>
      <c r="AF17" s="6"/>
      <c r="AG17" s="5"/>
      <c r="AH17" s="5">
        <f t="shared" si="2"/>
        <v>1</v>
      </c>
      <c r="AI17" s="5">
        <f t="shared" si="3"/>
        <v>5</v>
      </c>
      <c r="AJ17" s="5" t="str">
        <f t="shared" si="4"/>
        <v>-</v>
      </c>
    </row>
    <row r="18" spans="1:36" x14ac:dyDescent="0.25">
      <c r="A18" s="5">
        <v>17</v>
      </c>
      <c r="B18" s="130">
        <v>9636</v>
      </c>
      <c r="C18" s="14">
        <v>45505</v>
      </c>
      <c r="D18" s="5" t="str">
        <f t="shared" si="10"/>
        <v>Aug</v>
      </c>
      <c r="E18" s="8" t="s">
        <v>1</v>
      </c>
      <c r="F18" s="13" t="s">
        <v>526</v>
      </c>
      <c r="G18" s="12">
        <v>1876</v>
      </c>
      <c r="H18" s="11" t="str">
        <f>IF(G18="","",VLOOKUP(G18,'MASTER DATA'!C:D,2,FALSE ))</f>
        <v>Gopal Saini</v>
      </c>
      <c r="I18" s="10" t="str">
        <f>IF(G18="","",VLOOKUP(G18,'MASTER DATA'!C:F,4,FALSE ))</f>
        <v>Gourishankar Kumawat</v>
      </c>
      <c r="J18" s="10">
        <f>IF(G18="","",VLOOKUP(G18,'MASTER DATA'!C:J,8,FALSE))</f>
        <v>1635</v>
      </c>
      <c r="K18" s="10" t="str">
        <f>IF(I18="","",VLOOKUP(I18,'MASTER DATA'!F:G,2,FALSE ))</f>
        <v>Vijay Yadav</v>
      </c>
      <c r="L18" s="10">
        <f>IF(K18="","",VLOOKUP(K18,'MASTER DATA'!G:K,5,FALSE))</f>
        <v>1463</v>
      </c>
      <c r="M18" s="10" t="str">
        <f>IF(G18="","",VLOOKUP(G18,'MASTER DATA'!C:L,10,0))</f>
        <v>Mayur Luhadia</v>
      </c>
      <c r="N18" s="5" t="str">
        <f>VLOOKUP(G18,'MASTER DATA'!C:I,7,0)</f>
        <v>Ajay Gupta</v>
      </c>
      <c r="O18" s="5" t="s">
        <v>74</v>
      </c>
      <c r="P18" s="5" t="str">
        <f t="shared" si="11"/>
        <v>Done</v>
      </c>
      <c r="Q18" s="7">
        <v>45507</v>
      </c>
      <c r="R18" s="9"/>
      <c r="S18" s="8" t="s">
        <v>45</v>
      </c>
      <c r="T18" s="8">
        <v>990000</v>
      </c>
      <c r="U18" s="7"/>
      <c r="V18" s="5"/>
      <c r="W18" s="7"/>
      <c r="X18" s="5" t="str">
        <f t="shared" si="1"/>
        <v/>
      </c>
      <c r="Y18" s="7">
        <v>45507</v>
      </c>
      <c r="Z18" s="7">
        <v>45510</v>
      </c>
      <c r="AA18" s="5" t="str">
        <f t="shared" si="7"/>
        <v>Received</v>
      </c>
      <c r="AB18" s="7"/>
      <c r="AC18" s="7"/>
      <c r="AD18" s="5"/>
      <c r="AE18" s="7"/>
      <c r="AF18" s="6"/>
      <c r="AG18" s="5"/>
      <c r="AH18" s="5">
        <f t="shared" si="2"/>
        <v>2</v>
      </c>
      <c r="AI18" s="5" t="str">
        <f t="shared" si="3"/>
        <v>-</v>
      </c>
      <c r="AJ18" s="5" t="str">
        <f t="shared" si="4"/>
        <v>-</v>
      </c>
    </row>
    <row r="19" spans="1:36" x14ac:dyDescent="0.25">
      <c r="A19" s="5">
        <v>18</v>
      </c>
      <c r="B19" s="130">
        <v>9662</v>
      </c>
      <c r="C19" s="14">
        <v>45505</v>
      </c>
      <c r="D19" s="5" t="str">
        <f t="shared" si="10"/>
        <v>Aug</v>
      </c>
      <c r="E19" s="8" t="s">
        <v>36</v>
      </c>
      <c r="F19" s="13" t="s">
        <v>527</v>
      </c>
      <c r="G19" s="12">
        <v>3377</v>
      </c>
      <c r="H19" s="11" t="str">
        <f>IF(G19="","",VLOOKUP(G19,'MASTER DATA'!C:D,2,FALSE ))</f>
        <v>Sunil Kumar</v>
      </c>
      <c r="I19" s="10" t="str">
        <f>IF(G19="","",VLOOKUP(G19,'MASTER DATA'!C:F,4,FALSE ))</f>
        <v>Ram Pratap Rathi</v>
      </c>
      <c r="J19" s="10">
        <f>IF(G19="","",VLOOKUP(G19,'MASTER DATA'!C:J,8,FALSE))</f>
        <v>3134</v>
      </c>
      <c r="K19" s="10" t="str">
        <f>IF(I19="","",VLOOKUP(I19,'MASTER DATA'!F:G,2,FALSE ))</f>
        <v>Gurdeep Singh</v>
      </c>
      <c r="L19" s="10">
        <f>IF(K19="","",VLOOKUP(K19,'MASTER DATA'!G:K,5,FALSE))</f>
        <v>3256</v>
      </c>
      <c r="M19" s="10" t="str">
        <f>IF(G19="","",VLOOKUP(G19,'MASTER DATA'!C:L,10,0))</f>
        <v>Mayur Luhadia</v>
      </c>
      <c r="N19" s="5" t="str">
        <f>VLOOKUP(G19,'MASTER DATA'!C:I,7,0)</f>
        <v>Mohan Shankar Sharma</v>
      </c>
      <c r="O19" s="5" t="s">
        <v>545</v>
      </c>
      <c r="P19" s="5" t="str">
        <f t="shared" si="11"/>
        <v>Done</v>
      </c>
      <c r="Q19" s="7">
        <v>45507</v>
      </c>
      <c r="R19" s="9"/>
      <c r="S19" s="8" t="s">
        <v>27</v>
      </c>
      <c r="T19" s="8">
        <v>800000</v>
      </c>
      <c r="U19" s="7">
        <v>45510</v>
      </c>
      <c r="V19" s="5"/>
      <c r="W19" s="7"/>
      <c r="X19" s="5" t="str">
        <f t="shared" si="1"/>
        <v/>
      </c>
      <c r="Y19" s="7"/>
      <c r="Z19" s="7"/>
      <c r="AA19" s="5" t="str">
        <f t="shared" si="7"/>
        <v/>
      </c>
      <c r="AB19" s="7"/>
      <c r="AC19" s="7"/>
      <c r="AD19" s="5"/>
      <c r="AE19" s="7"/>
      <c r="AF19" s="6" t="s">
        <v>26</v>
      </c>
      <c r="AG19" s="5" t="s">
        <v>563</v>
      </c>
      <c r="AH19" s="5">
        <f t="shared" si="2"/>
        <v>2</v>
      </c>
      <c r="AI19" s="5" t="str">
        <f t="shared" si="3"/>
        <v>-</v>
      </c>
      <c r="AJ19" s="5" t="str">
        <f t="shared" si="4"/>
        <v>-</v>
      </c>
    </row>
    <row r="20" spans="1:36" x14ac:dyDescent="0.25">
      <c r="A20" s="5">
        <v>19</v>
      </c>
      <c r="B20" s="130">
        <v>9660</v>
      </c>
      <c r="C20" s="14">
        <v>45506</v>
      </c>
      <c r="D20" s="5" t="str">
        <f t="shared" si="10"/>
        <v>Aug</v>
      </c>
      <c r="E20" s="8" t="s">
        <v>41</v>
      </c>
      <c r="F20" s="13" t="s">
        <v>528</v>
      </c>
      <c r="G20" s="12">
        <v>3184</v>
      </c>
      <c r="H20" s="11" t="str">
        <f>IF(G20="","",VLOOKUP(G20,'MASTER DATA'!C:D,2,FALSE ))</f>
        <v>Vinod Kumar</v>
      </c>
      <c r="I20" s="10" t="str">
        <f>IF(G20="","",VLOOKUP(G20,'MASTER DATA'!C:F,4,FALSE ))</f>
        <v>Lovepreet Singh</v>
      </c>
      <c r="J20" s="10">
        <f>IF(G20="","",VLOOKUP(G20,'MASTER DATA'!C:J,8,FALSE))</f>
        <v>3175</v>
      </c>
      <c r="K20" s="10" t="str">
        <f>IF(I20="","",VLOOKUP(I20,'MASTER DATA'!F:G,2,FALSE ))</f>
        <v>Gurdeep Singh</v>
      </c>
      <c r="L20" s="10">
        <f>IF(K20="","",VLOOKUP(K20,'MASTER DATA'!G:K,5,FALSE))</f>
        <v>3256</v>
      </c>
      <c r="M20" s="10" t="str">
        <f>IF(G20="","",VLOOKUP(G20,'MASTER DATA'!C:L,10,0))</f>
        <v>Mayur Luhadia</v>
      </c>
      <c r="N20" s="5" t="str">
        <f>VLOOKUP(G20,'MASTER DATA'!C:I,7,0)</f>
        <v>Mohan Shankar Sharma</v>
      </c>
      <c r="O20" s="5" t="s">
        <v>39</v>
      </c>
      <c r="P20" s="5" t="str">
        <f t="shared" si="11"/>
        <v>Done</v>
      </c>
      <c r="Q20" s="7">
        <v>45510</v>
      </c>
      <c r="R20" s="9"/>
      <c r="S20" s="8" t="s">
        <v>27</v>
      </c>
      <c r="T20" s="8">
        <v>600000</v>
      </c>
      <c r="U20" s="7">
        <v>45510</v>
      </c>
      <c r="V20" s="5"/>
      <c r="W20" s="7"/>
      <c r="X20" s="5" t="str">
        <f t="shared" si="1"/>
        <v/>
      </c>
      <c r="Y20" s="7"/>
      <c r="Z20" s="7"/>
      <c r="AA20" s="5" t="str">
        <f t="shared" si="7"/>
        <v/>
      </c>
      <c r="AB20" s="7"/>
      <c r="AC20" s="7"/>
      <c r="AD20" s="5"/>
      <c r="AE20" s="7"/>
      <c r="AF20" s="6" t="s">
        <v>596</v>
      </c>
      <c r="AG20" s="5" t="s">
        <v>595</v>
      </c>
      <c r="AH20" s="5">
        <f t="shared" si="2"/>
        <v>4</v>
      </c>
      <c r="AI20" s="5" t="str">
        <f t="shared" si="3"/>
        <v>-</v>
      </c>
      <c r="AJ20" s="5" t="str">
        <f t="shared" si="4"/>
        <v>-</v>
      </c>
    </row>
    <row r="21" spans="1:36" x14ac:dyDescent="0.25">
      <c r="A21" s="5">
        <v>20</v>
      </c>
      <c r="B21" s="130">
        <v>9322</v>
      </c>
      <c r="C21" s="14">
        <v>45506</v>
      </c>
      <c r="D21" s="5" t="str">
        <f t="shared" si="10"/>
        <v>Aug</v>
      </c>
      <c r="E21" s="8" t="s">
        <v>467</v>
      </c>
      <c r="F21" s="13" t="s">
        <v>529</v>
      </c>
      <c r="G21" s="12">
        <v>1821</v>
      </c>
      <c r="H21" s="11" t="str">
        <f>IF(G21="","",VLOOKUP(G21,'MASTER DATA'!C:D,2,FALSE ))</f>
        <v>Dinesh Kumar</v>
      </c>
      <c r="I21" s="10" t="str">
        <f>IF(G21="","",VLOOKUP(G21,'MASTER DATA'!C:F,4,FALSE ))</f>
        <v>Bharat Singh Kuntal</v>
      </c>
      <c r="J21" s="10">
        <f>IF(G21="","",VLOOKUP(G21,'MASTER DATA'!C:J,8,FALSE))</f>
        <v>1772</v>
      </c>
      <c r="K21" s="10" t="str">
        <f>IF(I21="","",VLOOKUP(I21,'MASTER DATA'!F:G,2,FALSE ))</f>
        <v>Bharat Singh Kuntal</v>
      </c>
      <c r="L21" s="10">
        <f>IF(K21="","",VLOOKUP(K21,'MASTER DATA'!G:K,5,FALSE))</f>
        <v>1772</v>
      </c>
      <c r="M21" s="10" t="str">
        <f>IF(G21="","",VLOOKUP(G21,'MASTER DATA'!C:L,10,0))</f>
        <v>Mayur Luhadia</v>
      </c>
      <c r="N21" s="5" t="str">
        <f>VLOOKUP(G21,'MASTER DATA'!C:I,7,0)</f>
        <v>Sunil Bagoria</v>
      </c>
      <c r="O21" s="5"/>
      <c r="P21" s="5" t="str">
        <f t="shared" si="11"/>
        <v/>
      </c>
      <c r="Q21" s="7"/>
      <c r="R21" s="9" t="s">
        <v>546</v>
      </c>
      <c r="S21" s="8" t="s">
        <v>21</v>
      </c>
      <c r="T21" s="8">
        <v>400000</v>
      </c>
      <c r="U21" s="7"/>
      <c r="V21" s="5"/>
      <c r="W21" s="7"/>
      <c r="X21" s="5" t="str">
        <f t="shared" si="1"/>
        <v/>
      </c>
      <c r="Y21" s="7"/>
      <c r="Z21" s="7"/>
      <c r="AA21" s="5" t="str">
        <f t="shared" si="7"/>
        <v/>
      </c>
      <c r="AB21" s="7"/>
      <c r="AC21" s="7"/>
      <c r="AD21" s="5"/>
      <c r="AE21" s="7"/>
      <c r="AF21" s="6"/>
      <c r="AG21" s="5"/>
      <c r="AH21" s="5" t="str">
        <f t="shared" si="2"/>
        <v>-</v>
      </c>
      <c r="AI21" s="5" t="str">
        <f t="shared" si="3"/>
        <v>-</v>
      </c>
      <c r="AJ21" s="5" t="str">
        <f t="shared" si="4"/>
        <v>-</v>
      </c>
    </row>
    <row r="22" spans="1:36" x14ac:dyDescent="0.25">
      <c r="A22" s="5">
        <v>21</v>
      </c>
      <c r="B22" s="130">
        <v>9694</v>
      </c>
      <c r="C22" s="14">
        <v>45507</v>
      </c>
      <c r="D22" s="5" t="str">
        <f t="shared" si="10"/>
        <v>Aug</v>
      </c>
      <c r="E22" s="8" t="s">
        <v>41</v>
      </c>
      <c r="F22" s="13" t="s">
        <v>530</v>
      </c>
      <c r="G22" s="12">
        <v>3309</v>
      </c>
      <c r="H22" s="11" t="str">
        <f>IF(G22="","",VLOOKUP(G22,'MASTER DATA'!C:D,2,FALSE ))</f>
        <v>Baksheesh Singh</v>
      </c>
      <c r="I22" s="10" t="str">
        <f>IF(G22="","",VLOOKUP(G22,'MASTER DATA'!C:F,4,FALSE ))</f>
        <v>Lovepreet Singh</v>
      </c>
      <c r="J22" s="10">
        <f>IF(G22="","",VLOOKUP(G22,'MASTER DATA'!C:J,8,FALSE))</f>
        <v>3175</v>
      </c>
      <c r="K22" s="10" t="str">
        <f>IF(I22="","",VLOOKUP(I22,'MASTER DATA'!F:G,2,FALSE ))</f>
        <v>Gurdeep Singh</v>
      </c>
      <c r="L22" s="10">
        <f>IF(K22="","",VLOOKUP(K22,'MASTER DATA'!G:K,5,FALSE))</f>
        <v>3256</v>
      </c>
      <c r="M22" s="10" t="str">
        <f>IF(G22="","",VLOOKUP(G22,'MASTER DATA'!C:L,10,0))</f>
        <v>Mayur Luhadia</v>
      </c>
      <c r="N22" s="5" t="str">
        <f>VLOOKUP(G22,'MASTER DATA'!C:I,7,0)</f>
        <v>Mohan Shankar Sharma</v>
      </c>
      <c r="O22" s="5" t="s">
        <v>39</v>
      </c>
      <c r="P22" s="5" t="str">
        <f t="shared" si="11"/>
        <v>Done</v>
      </c>
      <c r="Q22" s="7">
        <v>45510</v>
      </c>
      <c r="R22" s="9"/>
      <c r="S22" s="8" t="s">
        <v>7</v>
      </c>
      <c r="T22" s="8">
        <v>550000</v>
      </c>
      <c r="U22" s="7"/>
      <c r="V22" s="5"/>
      <c r="W22" s="7"/>
      <c r="X22" s="5" t="str">
        <f t="shared" si="1"/>
        <v/>
      </c>
      <c r="Y22" s="7">
        <v>45511</v>
      </c>
      <c r="Z22" s="7">
        <v>45511</v>
      </c>
      <c r="AA22" s="5" t="str">
        <f t="shared" si="7"/>
        <v>Received</v>
      </c>
      <c r="AB22" s="7"/>
      <c r="AC22" s="7"/>
      <c r="AD22" s="5"/>
      <c r="AE22" s="7"/>
      <c r="AF22" s="6"/>
      <c r="AG22" s="5"/>
      <c r="AH22" s="5">
        <f t="shared" si="2"/>
        <v>3</v>
      </c>
      <c r="AI22" s="5" t="str">
        <f t="shared" si="3"/>
        <v>-</v>
      </c>
      <c r="AJ22" s="5" t="str">
        <f t="shared" si="4"/>
        <v>-</v>
      </c>
    </row>
    <row r="23" spans="1:36" x14ac:dyDescent="0.25">
      <c r="A23" s="5">
        <v>22</v>
      </c>
      <c r="B23" s="130">
        <v>9649</v>
      </c>
      <c r="C23" s="14">
        <v>45507</v>
      </c>
      <c r="D23" s="5" t="str">
        <f t="shared" si="10"/>
        <v>Aug</v>
      </c>
      <c r="E23" s="8" t="s">
        <v>23</v>
      </c>
      <c r="F23" s="13" t="s">
        <v>531</v>
      </c>
      <c r="G23" s="12">
        <v>3403</v>
      </c>
      <c r="H23" s="11" t="str">
        <f>IF(G23="","",VLOOKUP(G23,'MASTER DATA'!C:D,2,FALSE ))</f>
        <v>Vishal Patidar</v>
      </c>
      <c r="I23" s="10" t="str">
        <f>IF(G23="","",VLOOKUP(G23,'MASTER DATA'!C:F,4,FALSE ))</f>
        <v>Sawan Parmar</v>
      </c>
      <c r="J23" s="10">
        <f>IF(G23="","",VLOOKUP(G23,'MASTER DATA'!C:J,8,FALSE))</f>
        <v>3265</v>
      </c>
      <c r="K23" s="10" t="str">
        <f>IF(I23="","",VLOOKUP(I23,'MASTER DATA'!F:G,2,FALSE ))</f>
        <v>Ankur Khole</v>
      </c>
      <c r="L23" s="10">
        <f>IF(K23="","",VLOOKUP(K23,'MASTER DATA'!G:K,5,FALSE))</f>
        <v>3052</v>
      </c>
      <c r="M23" s="10" t="str">
        <f>IF(G23="","",VLOOKUP(G23,'MASTER DATA'!C:L,10,0))</f>
        <v>Ranjan Somani</v>
      </c>
      <c r="N23" s="5" t="str">
        <f>VLOOKUP(G23,'MASTER DATA'!C:I,7,0)</f>
        <v>Manoj Chauhan</v>
      </c>
      <c r="O23" s="5" t="s">
        <v>22</v>
      </c>
      <c r="P23" s="5" t="str">
        <f t="shared" si="11"/>
        <v>Done</v>
      </c>
      <c r="Q23" s="7">
        <v>45510</v>
      </c>
      <c r="R23" s="9"/>
      <c r="S23" s="8" t="s">
        <v>45</v>
      </c>
      <c r="T23" s="8">
        <v>800000</v>
      </c>
      <c r="U23" s="7"/>
      <c r="V23" s="5"/>
      <c r="W23" s="7"/>
      <c r="X23" s="5" t="str">
        <f t="shared" si="1"/>
        <v/>
      </c>
      <c r="Y23" s="7">
        <v>45510</v>
      </c>
      <c r="Z23" s="7">
        <v>45512</v>
      </c>
      <c r="AA23" s="5" t="str">
        <f t="shared" si="7"/>
        <v>Received</v>
      </c>
      <c r="AB23" s="7"/>
      <c r="AC23" s="7"/>
      <c r="AD23" s="5"/>
      <c r="AE23" s="7"/>
      <c r="AF23" s="6"/>
      <c r="AG23" s="5"/>
      <c r="AH23" s="5">
        <f t="shared" si="2"/>
        <v>3</v>
      </c>
      <c r="AI23" s="5" t="str">
        <f t="shared" si="3"/>
        <v>-</v>
      </c>
      <c r="AJ23" s="5" t="str">
        <f t="shared" si="4"/>
        <v>-</v>
      </c>
    </row>
    <row r="24" spans="1:36" x14ac:dyDescent="0.25">
      <c r="A24" s="5">
        <v>23</v>
      </c>
      <c r="B24" s="130">
        <v>9685</v>
      </c>
      <c r="C24" s="14">
        <v>45507</v>
      </c>
      <c r="D24" s="5" t="str">
        <f t="shared" si="10"/>
        <v>Aug</v>
      </c>
      <c r="E24" s="8" t="s">
        <v>59</v>
      </c>
      <c r="F24" s="13" t="s">
        <v>532</v>
      </c>
      <c r="G24" s="12">
        <v>3448</v>
      </c>
      <c r="H24" s="11" t="str">
        <f>IF(G24="","",VLOOKUP(G24,'MASTER DATA'!C:D,2,FALSE ))</f>
        <v>Rakesh</v>
      </c>
      <c r="I24" s="10" t="str">
        <f>IF(G24="","",VLOOKUP(G24,'MASTER DATA'!C:F,4,FALSE ))</f>
        <v>Narendra Singh</v>
      </c>
      <c r="J24" s="10">
        <f>IF(G24="","",VLOOKUP(G24,'MASTER DATA'!C:J,8,FALSE))</f>
        <v>3385</v>
      </c>
      <c r="K24" s="10" t="str">
        <f>IF(I24="","",VLOOKUP(I24,'MASTER DATA'!F:G,2,FALSE ))</f>
        <v>Bharat Singh Kuntal</v>
      </c>
      <c r="L24" s="10">
        <f>IF(K24="","",VLOOKUP(K24,'MASTER DATA'!G:K,5,FALSE))</f>
        <v>1772</v>
      </c>
      <c r="M24" s="10" t="str">
        <f>IF(G24="","",VLOOKUP(G24,'MASTER DATA'!C:L,10,0))</f>
        <v>Mayur Luhadia</v>
      </c>
      <c r="N24" s="5" t="str">
        <f>VLOOKUP(G24,'MASTER DATA'!C:I,7,0)</f>
        <v>Sunil Bagoria</v>
      </c>
      <c r="O24" s="5" t="s">
        <v>61</v>
      </c>
      <c r="P24" s="5" t="str">
        <f t="shared" si="11"/>
        <v>Done</v>
      </c>
      <c r="Q24" s="7">
        <v>45510</v>
      </c>
      <c r="R24" s="9"/>
      <c r="S24" s="8" t="s">
        <v>27</v>
      </c>
      <c r="T24" s="8">
        <v>500000</v>
      </c>
      <c r="U24" s="7">
        <v>45510</v>
      </c>
      <c r="V24" s="5"/>
      <c r="W24" s="7"/>
      <c r="X24" s="5" t="str">
        <f t="shared" si="1"/>
        <v/>
      </c>
      <c r="Y24" s="7"/>
      <c r="Z24" s="7"/>
      <c r="AA24" s="5" t="str">
        <f t="shared" si="7"/>
        <v/>
      </c>
      <c r="AB24" s="7"/>
      <c r="AC24" s="7"/>
      <c r="AD24" s="5"/>
      <c r="AE24" s="7"/>
      <c r="AF24" s="6" t="s">
        <v>62</v>
      </c>
      <c r="AG24" s="5" t="s">
        <v>562</v>
      </c>
      <c r="AH24" s="5">
        <f t="shared" si="2"/>
        <v>3</v>
      </c>
      <c r="AI24" s="5" t="str">
        <f t="shared" si="3"/>
        <v>-</v>
      </c>
      <c r="AJ24" s="5" t="str">
        <f t="shared" si="4"/>
        <v>-</v>
      </c>
    </row>
    <row r="25" spans="1:36" x14ac:dyDescent="0.25">
      <c r="A25" s="5">
        <v>24</v>
      </c>
      <c r="B25" s="130">
        <v>9659</v>
      </c>
      <c r="C25" s="14">
        <v>45507</v>
      </c>
      <c r="D25" s="5" t="str">
        <f t="shared" si="10"/>
        <v>Aug</v>
      </c>
      <c r="E25" s="8" t="s">
        <v>57</v>
      </c>
      <c r="F25" s="13" t="s">
        <v>533</v>
      </c>
      <c r="G25" s="12">
        <v>1985</v>
      </c>
      <c r="H25" s="11" t="str">
        <f>IF(G25="","",VLOOKUP(G25,'MASTER DATA'!C:D,2,FALSE ))</f>
        <v>Sonu Kumar</v>
      </c>
      <c r="I25" s="10" t="str">
        <f>IF(G25="","",VLOOKUP(G25,'MASTER DATA'!C:F,4,FALSE ))</f>
        <v>Babu Lal</v>
      </c>
      <c r="J25" s="10">
        <f>IF(G25="","",VLOOKUP(G25,'MASTER DATA'!C:J,8,FALSE))</f>
        <v>1983</v>
      </c>
      <c r="K25" s="10" t="str">
        <f>IF(I25="","",VLOOKUP(I25,'MASTER DATA'!F:G,2,FALSE ))</f>
        <v>Santosh Kumar</v>
      </c>
      <c r="L25" s="10">
        <f>IF(K25="","",VLOOKUP(K25,'MASTER DATA'!G:K,5,FALSE))</f>
        <v>1447</v>
      </c>
      <c r="M25" s="10" t="str">
        <f>IF(G25="","",VLOOKUP(G25,'MASTER DATA'!C:L,10,0))</f>
        <v>Mayur Luhadia</v>
      </c>
      <c r="N25" s="5" t="str">
        <f>VLOOKUP(G25,'MASTER DATA'!C:I,7,0)</f>
        <v>Sunil Bagoria</v>
      </c>
      <c r="O25" s="5" t="s">
        <v>599</v>
      </c>
      <c r="P25" s="5" t="str">
        <f t="shared" si="11"/>
        <v>Done</v>
      </c>
      <c r="Q25" s="7">
        <v>45511</v>
      </c>
      <c r="R25" s="9" t="s">
        <v>604</v>
      </c>
      <c r="S25" s="8" t="s">
        <v>21</v>
      </c>
      <c r="T25" s="8">
        <v>600000</v>
      </c>
      <c r="U25" s="7"/>
      <c r="V25" s="5"/>
      <c r="W25" s="7"/>
      <c r="X25" s="5" t="str">
        <f t="shared" si="1"/>
        <v/>
      </c>
      <c r="Y25" s="7"/>
      <c r="Z25" s="7"/>
      <c r="AA25" s="5" t="str">
        <f t="shared" si="7"/>
        <v/>
      </c>
      <c r="AB25" s="7"/>
      <c r="AC25" s="7"/>
      <c r="AD25" s="5"/>
      <c r="AE25" s="7"/>
      <c r="AF25" s="6"/>
      <c r="AG25" s="5"/>
      <c r="AH25" s="5">
        <f t="shared" si="2"/>
        <v>4</v>
      </c>
      <c r="AI25" s="5" t="str">
        <f t="shared" si="3"/>
        <v>-</v>
      </c>
      <c r="AJ25" s="5" t="str">
        <f t="shared" si="4"/>
        <v>-</v>
      </c>
    </row>
    <row r="26" spans="1:36" x14ac:dyDescent="0.25">
      <c r="A26" s="5">
        <v>25</v>
      </c>
      <c r="B26" s="130">
        <v>9639</v>
      </c>
      <c r="C26" s="14">
        <v>45507</v>
      </c>
      <c r="D26" s="5" t="str">
        <f t="shared" si="10"/>
        <v>Aug</v>
      </c>
      <c r="E26" s="8" t="s">
        <v>509</v>
      </c>
      <c r="F26" s="13" t="s">
        <v>534</v>
      </c>
      <c r="G26" s="12">
        <v>3423</v>
      </c>
      <c r="H26" s="11" t="str">
        <f>IF(G26="","",VLOOKUP(G26,'MASTER DATA'!C:D,2,FALSE ))</f>
        <v>Rajdeep Singh</v>
      </c>
      <c r="I26" s="10" t="str">
        <f>IF(G26="","",VLOOKUP(G26,'MASTER DATA'!C:F,4,FALSE ))</f>
        <v>Rajdeep Singh</v>
      </c>
      <c r="J26" s="10">
        <f>IF(G26="","",VLOOKUP(G26,'MASTER DATA'!C:J,8,FALSE))</f>
        <v>3423</v>
      </c>
      <c r="K26" s="10" t="str">
        <f>IF(I26="","",VLOOKUP(I26,'MASTER DATA'!F:G,2,FALSE ))</f>
        <v>Bhilwara Cluster</v>
      </c>
      <c r="L26" s="10" t="str">
        <f>IF(K26="","",VLOOKUP(K26,'MASTER DATA'!G:K,5,FALSE))</f>
        <v>Bhilwara Cluster</v>
      </c>
      <c r="M26" s="10" t="str">
        <f>IF(G26="","",VLOOKUP(G26,'MASTER DATA'!C:L,10,0))</f>
        <v>Pawan Khandelwal</v>
      </c>
      <c r="N26" s="5" t="str">
        <f>VLOOKUP(G26,'MASTER DATA'!C:I,7,0)</f>
        <v>Sunil Bagoria</v>
      </c>
      <c r="O26" s="5" t="s">
        <v>352</v>
      </c>
      <c r="P26" s="5" t="str">
        <f t="shared" si="11"/>
        <v>Done</v>
      </c>
      <c r="Q26" s="7">
        <v>45511</v>
      </c>
      <c r="R26" s="9"/>
      <c r="S26" s="8" t="s">
        <v>7</v>
      </c>
      <c r="T26" s="8">
        <v>500000</v>
      </c>
      <c r="U26" s="7"/>
      <c r="V26" s="5"/>
      <c r="W26" s="7"/>
      <c r="X26" s="5" t="str">
        <f t="shared" si="1"/>
        <v/>
      </c>
      <c r="Y26" s="7"/>
      <c r="Z26" s="7"/>
      <c r="AA26" s="5" t="str">
        <f t="shared" si="7"/>
        <v/>
      </c>
      <c r="AB26" s="7"/>
      <c r="AC26" s="7"/>
      <c r="AD26" s="5"/>
      <c r="AE26" s="7"/>
      <c r="AF26" s="6"/>
      <c r="AG26" s="5"/>
      <c r="AH26" s="5">
        <f t="shared" si="2"/>
        <v>4</v>
      </c>
      <c r="AI26" s="5" t="str">
        <f t="shared" si="3"/>
        <v>-</v>
      </c>
      <c r="AJ26" s="5" t="str">
        <f t="shared" si="4"/>
        <v>-</v>
      </c>
    </row>
    <row r="27" spans="1:36" x14ac:dyDescent="0.25">
      <c r="A27" s="5">
        <v>26</v>
      </c>
      <c r="B27" s="130">
        <v>9626</v>
      </c>
      <c r="C27" s="14">
        <v>45507</v>
      </c>
      <c r="D27" s="5" t="str">
        <f t="shared" si="10"/>
        <v>Aug</v>
      </c>
      <c r="E27" s="8" t="s">
        <v>33</v>
      </c>
      <c r="F27" s="13" t="s">
        <v>535</v>
      </c>
      <c r="G27" s="12">
        <v>3464</v>
      </c>
      <c r="H27" s="11" t="str">
        <f>IF(G27="","",VLOOKUP(G27,'MASTER DATA'!C:D,2,FALSE ))</f>
        <v>Kailash Panchariya</v>
      </c>
      <c r="I27" s="10" t="str">
        <f>IF(G27="","",VLOOKUP(G27,'MASTER DATA'!C:F,4,FALSE ))</f>
        <v>Vikram Bishnoi</v>
      </c>
      <c r="J27" s="10">
        <f>IF(G27="","",VLOOKUP(G27,'MASTER DATA'!C:J,8,FALSE))</f>
        <v>3180</v>
      </c>
      <c r="K27" s="10" t="str">
        <f>IF(I27="","",VLOOKUP(I27,'MASTER DATA'!F:G,2,FALSE ))</f>
        <v>Gajanand Purohit</v>
      </c>
      <c r="L27" s="10">
        <f>IF(K27="","",VLOOKUP(K27,'MASTER DATA'!G:K,5,FALSE))</f>
        <v>1596</v>
      </c>
      <c r="M27" s="10" t="str">
        <f>IF(G27="","",VLOOKUP(G27,'MASTER DATA'!C:L,10,0))</f>
        <v>Mayur Luhadia</v>
      </c>
      <c r="N27" s="5" t="str">
        <f>VLOOKUP(G27,'MASTER DATA'!C:I,7,0)</f>
        <v>Pradeep kumar Rohlan</v>
      </c>
      <c r="O27" s="5" t="s">
        <v>547</v>
      </c>
      <c r="P27" s="5" t="str">
        <f t="shared" si="11"/>
        <v>Done</v>
      </c>
      <c r="Q27" s="7">
        <v>45510</v>
      </c>
      <c r="R27" s="9"/>
      <c r="S27" s="8" t="s">
        <v>27</v>
      </c>
      <c r="T27" s="8">
        <v>500000</v>
      </c>
      <c r="U27" s="7">
        <v>45511</v>
      </c>
      <c r="V27" s="5"/>
      <c r="W27" s="7"/>
      <c r="X27" s="5" t="str">
        <f t="shared" si="1"/>
        <v/>
      </c>
      <c r="Y27" s="7"/>
      <c r="Z27" s="7"/>
      <c r="AA27" s="5" t="str">
        <f t="shared" si="7"/>
        <v/>
      </c>
      <c r="AB27" s="7"/>
      <c r="AC27" s="7"/>
      <c r="AD27" s="5"/>
      <c r="AE27" s="7"/>
      <c r="AF27" s="6" t="s">
        <v>62</v>
      </c>
      <c r="AG27" s="5" t="s">
        <v>618</v>
      </c>
      <c r="AH27" s="5">
        <f t="shared" si="2"/>
        <v>3</v>
      </c>
      <c r="AI27" s="5" t="str">
        <f t="shared" si="3"/>
        <v>-</v>
      </c>
      <c r="AJ27" s="5" t="str">
        <f t="shared" si="4"/>
        <v>-</v>
      </c>
    </row>
    <row r="28" spans="1:36" x14ac:dyDescent="0.25">
      <c r="A28" s="5">
        <v>27</v>
      </c>
      <c r="B28" s="130">
        <v>9614</v>
      </c>
      <c r="C28" s="14">
        <v>45507</v>
      </c>
      <c r="D28" s="5" t="str">
        <f t="shared" si="10"/>
        <v>Aug</v>
      </c>
      <c r="E28" s="8" t="s">
        <v>485</v>
      </c>
      <c r="F28" s="13" t="s">
        <v>536</v>
      </c>
      <c r="G28" s="12">
        <v>3450</v>
      </c>
      <c r="H28" s="11" t="str">
        <f>IF(G28="","",VLOOKUP(G28,'MASTER DATA'!C:D,2,FALSE ))</f>
        <v>Surendra Pawar</v>
      </c>
      <c r="I28" s="10" t="str">
        <f>IF(G28="","",VLOOKUP(G28,'MASTER DATA'!C:F,4,FALSE ))</f>
        <v>Pawan Yadav</v>
      </c>
      <c r="J28" s="10">
        <f>IF(G28="","",VLOOKUP(G28,'MASTER DATA'!C:J,8,FALSE))</f>
        <v>3373</v>
      </c>
      <c r="K28" s="10" t="str">
        <f>IF(I28="","",VLOOKUP(I28,'MASTER DATA'!F:G,2,FALSE ))</f>
        <v>Ankur Khole</v>
      </c>
      <c r="L28" s="10">
        <f>IF(K28="","",VLOOKUP(K28,'MASTER DATA'!G:K,5,FALSE))</f>
        <v>3052</v>
      </c>
      <c r="M28" s="10" t="str">
        <f>IF(G28="","",VLOOKUP(G28,'MASTER DATA'!C:L,10,0))</f>
        <v>Ranjan Somani</v>
      </c>
      <c r="N28" s="5" t="str">
        <f>VLOOKUP(G28,'MASTER DATA'!C:I,7,0)</f>
        <v>Manoj Chauhan</v>
      </c>
      <c r="O28" s="5" t="s">
        <v>16</v>
      </c>
      <c r="P28" s="5" t="str">
        <f t="shared" si="11"/>
        <v>Done</v>
      </c>
      <c r="Q28" s="7">
        <v>45510</v>
      </c>
      <c r="R28" s="9"/>
      <c r="S28" s="8" t="s">
        <v>27</v>
      </c>
      <c r="T28" s="8">
        <v>450000</v>
      </c>
      <c r="U28" s="7">
        <v>45510</v>
      </c>
      <c r="V28" s="5"/>
      <c r="W28" s="7"/>
      <c r="X28" s="5" t="str">
        <f t="shared" si="1"/>
        <v/>
      </c>
      <c r="Y28" s="7"/>
      <c r="Z28" s="7"/>
      <c r="AA28" s="5" t="str">
        <f t="shared" si="7"/>
        <v/>
      </c>
      <c r="AB28" s="7"/>
      <c r="AC28" s="7"/>
      <c r="AD28" s="5"/>
      <c r="AE28" s="7"/>
      <c r="AF28" s="6" t="s">
        <v>26</v>
      </c>
      <c r="AG28" s="5" t="s">
        <v>564</v>
      </c>
      <c r="AH28" s="5">
        <f t="shared" si="2"/>
        <v>3</v>
      </c>
      <c r="AI28" s="5" t="str">
        <f t="shared" si="3"/>
        <v>-</v>
      </c>
      <c r="AJ28" s="5" t="str">
        <f t="shared" si="4"/>
        <v>-</v>
      </c>
    </row>
    <row r="29" spans="1:36" x14ac:dyDescent="0.25">
      <c r="A29" s="5">
        <v>28</v>
      </c>
      <c r="B29" s="130">
        <v>9680</v>
      </c>
      <c r="C29" s="14">
        <v>45507</v>
      </c>
      <c r="D29" s="5" t="str">
        <f t="shared" si="10"/>
        <v>Aug</v>
      </c>
      <c r="E29" s="8" t="s">
        <v>60</v>
      </c>
      <c r="F29" s="13" t="s">
        <v>537</v>
      </c>
      <c r="G29" s="12">
        <v>3469</v>
      </c>
      <c r="H29" s="11" t="str">
        <f>IF(G29="","",VLOOKUP(G29,'MASTER DATA'!C:D,2,FALSE ))</f>
        <v>Satish Kumar Sharma</v>
      </c>
      <c r="I29" s="10" t="str">
        <f>IF(G29="","",VLOOKUP(G29,'MASTER DATA'!C:F,4,FALSE ))</f>
        <v>Heera Lal Meena</v>
      </c>
      <c r="J29" s="10">
        <f>IF(G29="","",VLOOKUP(G29,'MASTER DATA'!C:J,8,FALSE))</f>
        <v>3457</v>
      </c>
      <c r="K29" s="10" t="str">
        <f>IF(I29="","",VLOOKUP(I29,'MASTER DATA'!F:G,2,FALSE ))</f>
        <v>Saurabh Sharma</v>
      </c>
      <c r="L29" s="10">
        <f>IF(K29="","",VLOOKUP(K29,'MASTER DATA'!G:K,5,FALSE))</f>
        <v>1766</v>
      </c>
      <c r="M29" s="10" t="str">
        <f>IF(G29="","",VLOOKUP(G29,'MASTER DATA'!C:L,10,0))</f>
        <v>Pawan Khandelwal</v>
      </c>
      <c r="N29" s="5" t="str">
        <f>VLOOKUP(G29,'MASTER DATA'!C:I,7,0)</f>
        <v>Pradeep kumar Rohlan</v>
      </c>
      <c r="O29" s="5" t="s">
        <v>617</v>
      </c>
      <c r="P29" s="5" t="str">
        <f t="shared" si="11"/>
        <v>Done</v>
      </c>
      <c r="Q29" s="7">
        <v>45511</v>
      </c>
      <c r="R29" s="9"/>
      <c r="S29" s="8" t="s">
        <v>27</v>
      </c>
      <c r="T29" s="8">
        <v>500000</v>
      </c>
      <c r="U29" s="7">
        <v>45511</v>
      </c>
      <c r="V29" s="5"/>
      <c r="W29" s="7"/>
      <c r="X29" s="5" t="str">
        <f t="shared" si="1"/>
        <v/>
      </c>
      <c r="Y29" s="7"/>
      <c r="Z29" s="7"/>
      <c r="AA29" s="5" t="str">
        <f t="shared" si="7"/>
        <v/>
      </c>
      <c r="AB29" s="7"/>
      <c r="AC29" s="7"/>
      <c r="AD29" s="5"/>
      <c r="AE29" s="7"/>
      <c r="AF29" s="6" t="s">
        <v>62</v>
      </c>
      <c r="AG29" s="5" t="s">
        <v>620</v>
      </c>
      <c r="AH29" s="5">
        <f t="shared" si="2"/>
        <v>4</v>
      </c>
      <c r="AI29" s="5" t="str">
        <f t="shared" si="3"/>
        <v>-</v>
      </c>
      <c r="AJ29" s="5" t="str">
        <f t="shared" si="4"/>
        <v>-</v>
      </c>
    </row>
    <row r="30" spans="1:36" x14ac:dyDescent="0.25">
      <c r="A30" s="5">
        <v>29</v>
      </c>
      <c r="B30" s="130">
        <v>9691</v>
      </c>
      <c r="C30" s="14">
        <v>45507</v>
      </c>
      <c r="D30" s="5" t="str">
        <f t="shared" si="10"/>
        <v>Aug</v>
      </c>
      <c r="E30" s="8" t="s">
        <v>4</v>
      </c>
      <c r="F30" s="13" t="s">
        <v>538</v>
      </c>
      <c r="G30" s="12">
        <v>1451</v>
      </c>
      <c r="H30" s="11" t="str">
        <f>IF(G30="","",VLOOKUP(G30,'MASTER DATA'!C:D,2,FALSE ))</f>
        <v>Sunil Saini</v>
      </c>
      <c r="I30" s="10" t="str">
        <f>IF(G30="","",VLOOKUP(G30,'MASTER DATA'!C:F,4,FALSE ))</f>
        <v>Deepak Vajpayee</v>
      </c>
      <c r="J30" s="10">
        <f>IF(G30="","",VLOOKUP(G30,'MASTER DATA'!C:J,8,FALSE))</f>
        <v>1358</v>
      </c>
      <c r="K30" s="10" t="str">
        <f>IF(I30="","",VLOOKUP(I30,'MASTER DATA'!F:G,2,FALSE ))</f>
        <v>Vijay Yadav</v>
      </c>
      <c r="L30" s="10">
        <f>IF(K30="","",VLOOKUP(K30,'MASTER DATA'!G:K,5,FALSE))</f>
        <v>1463</v>
      </c>
      <c r="M30" s="10" t="str">
        <f>IF(G30="","",VLOOKUP(G30,'MASTER DATA'!C:L,10,0))</f>
        <v>Mayur Luhadia</v>
      </c>
      <c r="N30" s="5" t="str">
        <f>VLOOKUP(G30,'MASTER DATA'!C:I,7,0)</f>
        <v>Ajay Gupta</v>
      </c>
      <c r="O30" s="5" t="s">
        <v>80</v>
      </c>
      <c r="P30" s="5" t="str">
        <f t="shared" si="11"/>
        <v>Done</v>
      </c>
      <c r="Q30" s="7">
        <v>45510</v>
      </c>
      <c r="R30" s="9"/>
      <c r="S30" s="8" t="s">
        <v>45</v>
      </c>
      <c r="T30" s="8">
        <v>700000</v>
      </c>
      <c r="U30" s="7"/>
      <c r="V30" s="5"/>
      <c r="W30" s="7"/>
      <c r="X30" s="5" t="str">
        <f t="shared" si="1"/>
        <v/>
      </c>
      <c r="Y30" s="7"/>
      <c r="Z30" s="7"/>
      <c r="AA30" s="5" t="str">
        <f t="shared" si="7"/>
        <v/>
      </c>
      <c r="AB30" s="7"/>
      <c r="AC30" s="7"/>
      <c r="AD30" s="5"/>
      <c r="AE30" s="7"/>
      <c r="AF30" s="6"/>
      <c r="AG30" s="5"/>
      <c r="AH30" s="5">
        <f t="shared" si="2"/>
        <v>3</v>
      </c>
      <c r="AI30" s="5" t="str">
        <f t="shared" si="3"/>
        <v>-</v>
      </c>
      <c r="AJ30" s="5" t="str">
        <f t="shared" si="4"/>
        <v>-</v>
      </c>
    </row>
    <row r="31" spans="1:36" x14ac:dyDescent="0.25">
      <c r="A31" s="5">
        <v>30</v>
      </c>
      <c r="B31" s="130">
        <v>9632</v>
      </c>
      <c r="C31" s="14">
        <v>45507</v>
      </c>
      <c r="D31" s="5" t="str">
        <f t="shared" si="10"/>
        <v>Aug</v>
      </c>
      <c r="E31" s="8" t="s">
        <v>56</v>
      </c>
      <c r="F31" s="13" t="s">
        <v>539</v>
      </c>
      <c r="G31" s="12">
        <v>3406</v>
      </c>
      <c r="H31" s="11" t="str">
        <f>IF(G31="","",VLOOKUP(G31,'MASTER DATA'!C:D,2,FALSE ))</f>
        <v>Amit Kumawat</v>
      </c>
      <c r="I31" s="10" t="str">
        <f>IF(G31="","",VLOOKUP(G31,'MASTER DATA'!C:F,4,FALSE ))</f>
        <v>Sandeep Kumar Jat</v>
      </c>
      <c r="J31" s="10">
        <f>IF(G31="","",VLOOKUP(G31,'MASTER DATA'!C:J,8,FALSE))</f>
        <v>3388</v>
      </c>
      <c r="K31" s="10" t="str">
        <f>IF(I31="","",VLOOKUP(I31,'MASTER DATA'!F:G,2,FALSE ))</f>
        <v>Bharat Singh Kuntal</v>
      </c>
      <c r="L31" s="10">
        <f>IF(K31="","",VLOOKUP(K31,'MASTER DATA'!G:K,5,FALSE))</f>
        <v>1772</v>
      </c>
      <c r="M31" s="10" t="str">
        <f>IF(G31="","",VLOOKUP(G31,'MASTER DATA'!C:L,10,0))</f>
        <v>Mayur Luhadia</v>
      </c>
      <c r="N31" s="5" t="str">
        <f>VLOOKUP(G31,'MASTER DATA'!C:I,7,0)</f>
        <v>Sunil Bagoria</v>
      </c>
      <c r="O31" s="5" t="s">
        <v>74</v>
      </c>
      <c r="P31" s="5" t="str">
        <f t="shared" si="11"/>
        <v>Done</v>
      </c>
      <c r="Q31" s="7">
        <v>45511</v>
      </c>
      <c r="R31" s="9"/>
      <c r="S31" s="8" t="s">
        <v>27</v>
      </c>
      <c r="T31" s="8">
        <v>600000</v>
      </c>
      <c r="U31" s="7">
        <v>45512</v>
      </c>
      <c r="V31" s="5"/>
      <c r="W31" s="7"/>
      <c r="X31" s="5" t="str">
        <f t="shared" si="1"/>
        <v/>
      </c>
      <c r="Y31" s="7"/>
      <c r="Z31" s="7"/>
      <c r="AA31" s="5" t="str">
        <f t="shared" si="7"/>
        <v/>
      </c>
      <c r="AB31" s="7"/>
      <c r="AC31" s="7"/>
      <c r="AD31" s="5"/>
      <c r="AE31" s="7"/>
      <c r="AF31" s="6" t="s">
        <v>26</v>
      </c>
      <c r="AG31" s="5" t="s">
        <v>660</v>
      </c>
      <c r="AH31" s="5">
        <f t="shared" si="2"/>
        <v>4</v>
      </c>
      <c r="AI31" s="5" t="str">
        <f t="shared" si="3"/>
        <v>-</v>
      </c>
      <c r="AJ31" s="5" t="str">
        <f t="shared" si="4"/>
        <v>-</v>
      </c>
    </row>
    <row r="32" spans="1:36" x14ac:dyDescent="0.25">
      <c r="A32" s="5">
        <v>31</v>
      </c>
      <c r="B32" s="130">
        <v>9682</v>
      </c>
      <c r="C32" s="14">
        <v>45507</v>
      </c>
      <c r="D32" s="5" t="str">
        <f t="shared" si="10"/>
        <v>Aug</v>
      </c>
      <c r="E32" s="8" t="s">
        <v>25</v>
      </c>
      <c r="F32" s="13" t="s">
        <v>540</v>
      </c>
      <c r="G32" s="12">
        <v>3452</v>
      </c>
      <c r="H32" s="11" t="str">
        <f>IF(G32="","",VLOOKUP(G32,'MASTER DATA'!C:D,2,FALSE ))</f>
        <v>Chander Bhan</v>
      </c>
      <c r="I32" s="10" t="str">
        <f>IF(G32="","",VLOOKUP(G32,'MASTER DATA'!C:F,4,FALSE ))</f>
        <v>Bhagirath</v>
      </c>
      <c r="J32" s="10">
        <f>IF(G32="","",VLOOKUP(G32,'MASTER DATA'!C:J,8,FALSE))</f>
        <v>3145</v>
      </c>
      <c r="K32" s="10" t="str">
        <f>IF(I32="","",VLOOKUP(I32,'MASTER DATA'!F:G,2,FALSE ))</f>
        <v>Gurdeep Singh</v>
      </c>
      <c r="L32" s="10">
        <f>IF(K32="","",VLOOKUP(K32,'MASTER DATA'!G:K,5,FALSE))</f>
        <v>3256</v>
      </c>
      <c r="M32" s="10" t="str">
        <f>IF(G32="","",VLOOKUP(G32,'MASTER DATA'!C:L,10,0))</f>
        <v>Mayur Luhadia</v>
      </c>
      <c r="N32" s="5" t="str">
        <f>VLOOKUP(G32,'MASTER DATA'!C:I,7,0)</f>
        <v>Mohan Shankar Sharma</v>
      </c>
      <c r="O32" s="5" t="s">
        <v>39</v>
      </c>
      <c r="P32" s="5" t="str">
        <f t="shared" si="11"/>
        <v>Done</v>
      </c>
      <c r="Q32" s="7">
        <v>45512</v>
      </c>
      <c r="R32" s="9" t="s">
        <v>663</v>
      </c>
      <c r="S32" s="8" t="s">
        <v>21</v>
      </c>
      <c r="T32" s="8">
        <v>800000</v>
      </c>
      <c r="U32" s="7"/>
      <c r="V32" s="5"/>
      <c r="W32" s="7"/>
      <c r="X32" s="5" t="str">
        <f t="shared" si="1"/>
        <v/>
      </c>
      <c r="Y32" s="7"/>
      <c r="Z32" s="7"/>
      <c r="AA32" s="5" t="str">
        <f t="shared" si="7"/>
        <v/>
      </c>
      <c r="AB32" s="7"/>
      <c r="AC32" s="7"/>
      <c r="AD32" s="5"/>
      <c r="AE32" s="7"/>
      <c r="AF32" s="6"/>
      <c r="AG32" s="5"/>
      <c r="AH32" s="5">
        <f t="shared" si="2"/>
        <v>5</v>
      </c>
      <c r="AI32" s="5" t="str">
        <f t="shared" si="3"/>
        <v>-</v>
      </c>
      <c r="AJ32" s="5" t="str">
        <f t="shared" si="4"/>
        <v>-</v>
      </c>
    </row>
    <row r="33" spans="1:36" x14ac:dyDescent="0.25">
      <c r="A33" s="5">
        <v>32</v>
      </c>
      <c r="B33" s="130">
        <v>9679</v>
      </c>
      <c r="C33" s="14">
        <v>45507</v>
      </c>
      <c r="D33" s="5" t="str">
        <f t="shared" si="10"/>
        <v>Aug</v>
      </c>
      <c r="E33" s="8" t="s">
        <v>46</v>
      </c>
      <c r="F33" s="13" t="s">
        <v>541</v>
      </c>
      <c r="G33" s="12">
        <v>3460</v>
      </c>
      <c r="H33" s="11" t="str">
        <f>IF(G33="","",VLOOKUP(G33,'MASTER DATA'!C:D,2,FALSE ))</f>
        <v>Rahul Manddloi</v>
      </c>
      <c r="I33" s="10" t="str">
        <f>IF(G33="","",VLOOKUP(G33,'MASTER DATA'!C:F,4,FALSE ))</f>
        <v>Nitesh</v>
      </c>
      <c r="J33" s="10">
        <f>IF(G33="","",VLOOKUP(G33,'MASTER DATA'!C:J,8,FALSE))</f>
        <v>3286</v>
      </c>
      <c r="K33" s="10" t="str">
        <f>IF(I33="","",VLOOKUP(I33,'MASTER DATA'!F:G,2,FALSE ))</f>
        <v>Ankur Khole</v>
      </c>
      <c r="L33" s="10">
        <f>IF(K33="","",VLOOKUP(K33,'MASTER DATA'!G:K,5,FALSE))</f>
        <v>3052</v>
      </c>
      <c r="M33" s="10" t="str">
        <f>IF(G33="","",VLOOKUP(G33,'MASTER DATA'!C:L,10,0))</f>
        <v>Ranjan Somani</v>
      </c>
      <c r="N33" s="5" t="str">
        <f>VLOOKUP(G33,'MASTER DATA'!C:I,7,0)</f>
        <v>Manoj Chauhan</v>
      </c>
      <c r="O33" s="5" t="s">
        <v>16</v>
      </c>
      <c r="P33" s="5" t="str">
        <f t="shared" si="11"/>
        <v>Done</v>
      </c>
      <c r="Q33" s="7">
        <v>45511</v>
      </c>
      <c r="R33" s="9"/>
      <c r="S33" s="8" t="s">
        <v>7</v>
      </c>
      <c r="T33" s="8">
        <v>400000</v>
      </c>
      <c r="U33" s="7"/>
      <c r="V33" s="5"/>
      <c r="W33" s="7"/>
      <c r="X33" s="5" t="str">
        <f t="shared" si="1"/>
        <v/>
      </c>
      <c r="Y33" s="7">
        <v>45511</v>
      </c>
      <c r="Z33" s="7"/>
      <c r="AA33" s="5" t="str">
        <f t="shared" si="7"/>
        <v>Pending</v>
      </c>
      <c r="AB33" s="7"/>
      <c r="AC33" s="7"/>
      <c r="AD33" s="5"/>
      <c r="AE33" s="7"/>
      <c r="AF33" s="6"/>
      <c r="AG33" s="5"/>
      <c r="AH33" s="5">
        <f t="shared" si="2"/>
        <v>4</v>
      </c>
      <c r="AI33" s="5" t="str">
        <f t="shared" si="3"/>
        <v>-</v>
      </c>
      <c r="AJ33" s="5" t="str">
        <f t="shared" si="4"/>
        <v>-</v>
      </c>
    </row>
    <row r="34" spans="1:36" x14ac:dyDescent="0.25">
      <c r="A34" s="5">
        <v>33</v>
      </c>
      <c r="B34" s="130">
        <v>9149</v>
      </c>
      <c r="C34" s="14">
        <v>45507</v>
      </c>
      <c r="D34" s="5" t="str">
        <f t="shared" si="10"/>
        <v>Aug</v>
      </c>
      <c r="E34" s="8" t="s">
        <v>475</v>
      </c>
      <c r="F34" s="13" t="s">
        <v>542</v>
      </c>
      <c r="G34" s="12">
        <v>3407</v>
      </c>
      <c r="H34" s="11" t="str">
        <f>IF(G34="","",VLOOKUP(G34,'MASTER DATA'!C:D,2,FALSE ))</f>
        <v>Ajay Choudhary</v>
      </c>
      <c r="I34" s="10" t="str">
        <f>IF(G34="","",VLOOKUP(G34,'MASTER DATA'!C:F,4,FALSE ))</f>
        <v>Rajveer Singh Saktawat</v>
      </c>
      <c r="J34" s="10">
        <f>IF(G34="","",VLOOKUP(G34,'MASTER DATA'!C:J,8,FALSE))</f>
        <v>3384</v>
      </c>
      <c r="K34" s="10" t="str">
        <f>IF(I34="","",VLOOKUP(I34,'MASTER DATA'!F:G,2,FALSE ))</f>
        <v>Bhilwara Cluster</v>
      </c>
      <c r="L34" s="10" t="str">
        <f>IF(K34="","",VLOOKUP(K34,'MASTER DATA'!G:K,5,FALSE))</f>
        <v>Bhilwara Cluster</v>
      </c>
      <c r="M34" s="10" t="str">
        <f>IF(G34="","",VLOOKUP(G34,'MASTER DATA'!C:L,10,0))</f>
        <v>Pawan Khandelwal</v>
      </c>
      <c r="N34" s="5" t="str">
        <f>VLOOKUP(G34,'MASTER DATA'!C:I,7,0)</f>
        <v>Sunil Bagoria</v>
      </c>
      <c r="O34" s="5" t="s">
        <v>15</v>
      </c>
      <c r="P34" s="5" t="str">
        <f t="shared" si="11"/>
        <v>Done</v>
      </c>
      <c r="Q34" s="7">
        <v>45511</v>
      </c>
      <c r="R34" s="9"/>
      <c r="S34" s="156" t="s">
        <v>27</v>
      </c>
      <c r="T34" s="8">
        <v>600000</v>
      </c>
      <c r="U34" s="7">
        <v>45511</v>
      </c>
      <c r="V34" s="5"/>
      <c r="W34" s="7"/>
      <c r="X34" s="5" t="str">
        <f t="shared" si="1"/>
        <v/>
      </c>
      <c r="Y34" s="7"/>
      <c r="Z34" s="7"/>
      <c r="AA34" s="5" t="str">
        <f t="shared" si="7"/>
        <v/>
      </c>
      <c r="AB34" s="7"/>
      <c r="AC34" s="7"/>
      <c r="AD34" s="5"/>
      <c r="AE34" s="7"/>
      <c r="AF34" s="6" t="s">
        <v>55</v>
      </c>
      <c r="AG34" s="5" t="s">
        <v>597</v>
      </c>
      <c r="AH34" s="5">
        <f t="shared" ref="AH34:AH65" si="12">IF(Q34="","-",Q34-C34)</f>
        <v>4</v>
      </c>
      <c r="AI34" s="5" t="str">
        <f t="shared" ref="AI34:AI65" si="13">IF(W34="","-",W34-C34)</f>
        <v>-</v>
      </c>
      <c r="AJ34" s="5" t="str">
        <f t="shared" ref="AJ34:AJ65" si="14">IF(AE34="","-",AE34-C34)</f>
        <v>-</v>
      </c>
    </row>
    <row r="35" spans="1:36" x14ac:dyDescent="0.25">
      <c r="A35" s="5">
        <v>34</v>
      </c>
      <c r="B35" s="130">
        <v>8755</v>
      </c>
      <c r="C35" s="14">
        <v>45507</v>
      </c>
      <c r="D35" s="5" t="str">
        <f t="shared" si="10"/>
        <v>Aug</v>
      </c>
      <c r="E35" s="8" t="s">
        <v>1</v>
      </c>
      <c r="F35" s="13" t="s">
        <v>543</v>
      </c>
      <c r="G35" s="12">
        <v>1698</v>
      </c>
      <c r="H35" s="11" t="str">
        <f>IF(G35="","",VLOOKUP(G35,'MASTER DATA'!C:D,2,FALSE ))</f>
        <v>Mohan Lal Kumawat</v>
      </c>
      <c r="I35" s="10" t="str">
        <f>IF(G35="","",VLOOKUP(G35,'MASTER DATA'!C:F,4,FALSE ))</f>
        <v>Gourishankar Kumawat</v>
      </c>
      <c r="J35" s="10">
        <f>IF(G35="","",VLOOKUP(G35,'MASTER DATA'!C:J,8,FALSE))</f>
        <v>1635</v>
      </c>
      <c r="K35" s="10" t="str">
        <f>IF(I35="","",VLOOKUP(I35,'MASTER DATA'!F:G,2,FALSE ))</f>
        <v>Vijay Yadav</v>
      </c>
      <c r="L35" s="10">
        <f>IF(K35="","",VLOOKUP(K35,'MASTER DATA'!G:K,5,FALSE))</f>
        <v>1463</v>
      </c>
      <c r="M35" s="10" t="str">
        <f>IF(G35="","",VLOOKUP(G35,'MASTER DATA'!C:L,10,0))</f>
        <v>Mayur Luhadia</v>
      </c>
      <c r="N35" s="5" t="str">
        <f>VLOOKUP(G35,'MASTER DATA'!C:I,7,0)</f>
        <v>Ajay Gupta</v>
      </c>
      <c r="O35" s="5" t="s">
        <v>74</v>
      </c>
      <c r="P35" s="5" t="str">
        <f t="shared" si="11"/>
        <v>Done</v>
      </c>
      <c r="Q35" s="7">
        <v>45511</v>
      </c>
      <c r="R35" s="9"/>
      <c r="S35" s="8" t="s">
        <v>27</v>
      </c>
      <c r="T35" s="8">
        <v>600000</v>
      </c>
      <c r="U35" s="7">
        <v>45511</v>
      </c>
      <c r="V35" s="5"/>
      <c r="W35" s="7"/>
      <c r="X35" s="5" t="str">
        <f t="shared" si="1"/>
        <v/>
      </c>
      <c r="Y35" s="7"/>
      <c r="Z35" s="7"/>
      <c r="AA35" s="5" t="str">
        <f t="shared" si="7"/>
        <v/>
      </c>
      <c r="AB35" s="7"/>
      <c r="AC35" s="7"/>
      <c r="AD35" s="5"/>
      <c r="AE35" s="7"/>
      <c r="AF35" s="6" t="s">
        <v>26</v>
      </c>
      <c r="AG35" s="5" t="s">
        <v>619</v>
      </c>
      <c r="AH35" s="5">
        <f t="shared" si="12"/>
        <v>4</v>
      </c>
      <c r="AI35" s="5" t="str">
        <f t="shared" si="13"/>
        <v>-</v>
      </c>
      <c r="AJ35" s="5" t="str">
        <f t="shared" si="14"/>
        <v>-</v>
      </c>
    </row>
    <row r="36" spans="1:36" x14ac:dyDescent="0.25">
      <c r="A36" s="5">
        <v>35</v>
      </c>
      <c r="B36" s="130">
        <v>9674</v>
      </c>
      <c r="C36" s="14">
        <v>45510</v>
      </c>
      <c r="D36" s="5" t="str">
        <f t="shared" si="10"/>
        <v>Aug</v>
      </c>
      <c r="E36" s="8" t="s">
        <v>59</v>
      </c>
      <c r="F36" s="13" t="s">
        <v>566</v>
      </c>
      <c r="G36" s="12">
        <v>3448</v>
      </c>
      <c r="H36" s="11" t="str">
        <f>IF(G36="","",VLOOKUP(G36,'MASTER DATA'!C:D,2,FALSE ))</f>
        <v>Rakesh</v>
      </c>
      <c r="I36" s="10" t="str">
        <f>IF(G36="","",VLOOKUP(G36,'MASTER DATA'!C:F,4,FALSE ))</f>
        <v>Narendra Singh</v>
      </c>
      <c r="J36" s="10">
        <f>IF(G36="","",VLOOKUP(G36,'MASTER DATA'!C:J,8,FALSE))</f>
        <v>3385</v>
      </c>
      <c r="K36" s="10" t="str">
        <f>IF(I36="","",VLOOKUP(I36,'MASTER DATA'!F:G,2,FALSE ))</f>
        <v>Bharat Singh Kuntal</v>
      </c>
      <c r="L36" s="10">
        <f>IF(K36="","",VLOOKUP(K36,'MASTER DATA'!G:K,5,FALSE))</f>
        <v>1772</v>
      </c>
      <c r="M36" s="10" t="str">
        <f>IF(G36="","",VLOOKUP(G36,'MASTER DATA'!C:L,10,0))</f>
        <v>Mayur Luhadia</v>
      </c>
      <c r="N36" s="5" t="str">
        <f>VLOOKUP(G36,'MASTER DATA'!C:I,7,0)</f>
        <v>Sunil Bagoria</v>
      </c>
      <c r="O36" s="5" t="s">
        <v>118</v>
      </c>
      <c r="P36" s="5" t="str">
        <f t="shared" si="11"/>
        <v>Done</v>
      </c>
      <c r="Q36" s="7">
        <v>45512</v>
      </c>
      <c r="R36" s="9" t="s">
        <v>636</v>
      </c>
      <c r="S36" s="8" t="s">
        <v>21</v>
      </c>
      <c r="T36" s="8">
        <v>800000</v>
      </c>
      <c r="U36" s="7"/>
      <c r="V36" s="5"/>
      <c r="W36" s="7"/>
      <c r="X36" s="5" t="str">
        <f t="shared" si="1"/>
        <v/>
      </c>
      <c r="Y36" s="7"/>
      <c r="Z36" s="7"/>
      <c r="AA36" s="5" t="str">
        <f t="shared" si="7"/>
        <v/>
      </c>
      <c r="AB36" s="7"/>
      <c r="AC36" s="7"/>
      <c r="AD36" s="5"/>
      <c r="AE36" s="7"/>
      <c r="AF36" s="6"/>
      <c r="AG36" s="5"/>
      <c r="AH36" s="5">
        <f t="shared" si="12"/>
        <v>2</v>
      </c>
      <c r="AI36" s="5" t="str">
        <f t="shared" si="13"/>
        <v>-</v>
      </c>
      <c r="AJ36" s="5" t="str">
        <f t="shared" si="14"/>
        <v>-</v>
      </c>
    </row>
    <row r="37" spans="1:36" x14ac:dyDescent="0.25">
      <c r="A37" s="5">
        <v>36</v>
      </c>
      <c r="B37" s="130">
        <v>9686</v>
      </c>
      <c r="C37" s="14">
        <v>45510</v>
      </c>
      <c r="D37" s="5" t="str">
        <f t="shared" si="10"/>
        <v>Aug</v>
      </c>
      <c r="E37" s="8" t="s">
        <v>29</v>
      </c>
      <c r="F37" s="13" t="s">
        <v>567</v>
      </c>
      <c r="G37" s="12">
        <v>3405</v>
      </c>
      <c r="H37" s="11" t="str">
        <f>IF(G37="","",VLOOKUP(G37,'MASTER DATA'!C:D,2,FALSE ))</f>
        <v>Sunil Yadav</v>
      </c>
      <c r="I37" s="10" t="str">
        <f>IF(G37="","",VLOOKUP(G37,'MASTER DATA'!C:F,4,FALSE ))</f>
        <v>Anil Solanki</v>
      </c>
      <c r="J37" s="10">
        <f>IF(G37="","",VLOOKUP(G37,'MASTER DATA'!C:J,8,FALSE))</f>
        <v>3189</v>
      </c>
      <c r="K37" s="10" t="str">
        <f>IF(I37="","",VLOOKUP(I37,'MASTER DATA'!F:G,2,FALSE ))</f>
        <v>Ankur Khole</v>
      </c>
      <c r="L37" s="10">
        <f>IF(K37="","",VLOOKUP(K37,'MASTER DATA'!G:K,5,FALSE))</f>
        <v>3052</v>
      </c>
      <c r="M37" s="10" t="str">
        <f>IF(G37="","",VLOOKUP(G37,'MASTER DATA'!C:L,10,0))</f>
        <v>Ranjan Somani</v>
      </c>
      <c r="N37" s="5" t="str">
        <f>VLOOKUP(G37,'MASTER DATA'!C:I,7,0)</f>
        <v>Manoj Chauhan</v>
      </c>
      <c r="O37" s="5" t="s">
        <v>28</v>
      </c>
      <c r="P37" s="5" t="str">
        <f t="shared" si="11"/>
        <v>Done</v>
      </c>
      <c r="Q37" s="7">
        <v>45512</v>
      </c>
      <c r="R37" s="9"/>
      <c r="S37" s="8" t="s">
        <v>7</v>
      </c>
      <c r="T37" s="8">
        <v>350000</v>
      </c>
      <c r="U37" s="7"/>
      <c r="V37" s="5"/>
      <c r="W37" s="7"/>
      <c r="X37" s="5" t="str">
        <f t="shared" si="1"/>
        <v/>
      </c>
      <c r="Y37" s="7"/>
      <c r="Z37" s="7"/>
      <c r="AA37" s="5" t="str">
        <f t="shared" si="7"/>
        <v/>
      </c>
      <c r="AB37" s="7"/>
      <c r="AC37" s="7"/>
      <c r="AD37" s="5"/>
      <c r="AE37" s="7"/>
      <c r="AF37" s="6"/>
      <c r="AG37" s="5"/>
      <c r="AH37" s="5">
        <f t="shared" si="12"/>
        <v>2</v>
      </c>
      <c r="AI37" s="5" t="str">
        <f t="shared" si="13"/>
        <v>-</v>
      </c>
      <c r="AJ37" s="5" t="str">
        <f t="shared" si="14"/>
        <v>-</v>
      </c>
    </row>
    <row r="38" spans="1:36" x14ac:dyDescent="0.25">
      <c r="A38" s="5">
        <v>37</v>
      </c>
      <c r="B38" s="130">
        <v>9711</v>
      </c>
      <c r="C38" s="14">
        <v>45510</v>
      </c>
      <c r="D38" s="5" t="str">
        <f t="shared" si="10"/>
        <v>Aug</v>
      </c>
      <c r="E38" s="8" t="s">
        <v>4</v>
      </c>
      <c r="F38" s="13" t="s">
        <v>568</v>
      </c>
      <c r="G38" s="12">
        <v>3051</v>
      </c>
      <c r="H38" s="11" t="str">
        <f>IF(G38="","",VLOOKUP(G38,'MASTER DATA'!C:D,2,FALSE ))</f>
        <v>Vikas Verma</v>
      </c>
      <c r="I38" s="10" t="str">
        <f>IF(G38="","",VLOOKUP(G38,'MASTER DATA'!C:F,4,FALSE ))</f>
        <v>Ratinder Singh</v>
      </c>
      <c r="J38" s="10">
        <f>IF(G38="","",VLOOKUP(G38,'MASTER DATA'!C:J,8,FALSE))</f>
        <v>1439</v>
      </c>
      <c r="K38" s="10" t="str">
        <f>IF(I38="","",VLOOKUP(I38,'MASTER DATA'!F:G,2,FALSE ))</f>
        <v>Vijay Yadav</v>
      </c>
      <c r="L38" s="10">
        <f>IF(K38="","",VLOOKUP(K38,'MASTER DATA'!G:K,5,FALSE))</f>
        <v>1463</v>
      </c>
      <c r="M38" s="10" t="str">
        <f>IF(G38="","",VLOOKUP(G38,'MASTER DATA'!C:L,10,0))</f>
        <v>Mayur Luhadia</v>
      </c>
      <c r="N38" s="5" t="str">
        <f>VLOOKUP(G38,'MASTER DATA'!C:I,7,0)</f>
        <v>Ajay Gupta</v>
      </c>
      <c r="O38" s="5" t="s">
        <v>80</v>
      </c>
      <c r="P38" s="5" t="str">
        <f t="shared" si="11"/>
        <v>Done</v>
      </c>
      <c r="Q38" s="7">
        <v>45512</v>
      </c>
      <c r="R38" s="9"/>
      <c r="S38" s="8" t="s">
        <v>7</v>
      </c>
      <c r="T38" s="8">
        <v>600000</v>
      </c>
      <c r="U38" s="7"/>
      <c r="V38" s="5"/>
      <c r="W38" s="7"/>
      <c r="X38" s="5" t="str">
        <f t="shared" si="1"/>
        <v/>
      </c>
      <c r="Y38" s="7"/>
      <c r="Z38" s="7"/>
      <c r="AA38" s="5" t="str">
        <f t="shared" si="7"/>
        <v/>
      </c>
      <c r="AB38" s="7"/>
      <c r="AC38" s="7"/>
      <c r="AD38" s="5"/>
      <c r="AE38" s="7"/>
      <c r="AF38" s="6"/>
      <c r="AG38" s="5"/>
      <c r="AH38" s="5">
        <f t="shared" si="12"/>
        <v>2</v>
      </c>
      <c r="AI38" s="5" t="str">
        <f t="shared" si="13"/>
        <v>-</v>
      </c>
      <c r="AJ38" s="5" t="str">
        <f t="shared" si="14"/>
        <v>-</v>
      </c>
    </row>
    <row r="39" spans="1:36" x14ac:dyDescent="0.25">
      <c r="A39" s="5">
        <v>38</v>
      </c>
      <c r="B39" s="130">
        <v>9690</v>
      </c>
      <c r="C39" s="14">
        <v>45510</v>
      </c>
      <c r="D39" s="5" t="str">
        <f t="shared" si="10"/>
        <v>Aug</v>
      </c>
      <c r="E39" s="8" t="s">
        <v>1</v>
      </c>
      <c r="F39" s="13" t="s">
        <v>569</v>
      </c>
      <c r="G39" s="12">
        <v>1698</v>
      </c>
      <c r="H39" s="11" t="str">
        <f>IF(G39="","",VLOOKUP(G39,'MASTER DATA'!C:D,2,FALSE ))</f>
        <v>Mohan Lal Kumawat</v>
      </c>
      <c r="I39" s="10" t="str">
        <f>IF(G39="","",VLOOKUP(G39,'MASTER DATA'!C:F,4,FALSE ))</f>
        <v>Gourishankar Kumawat</v>
      </c>
      <c r="J39" s="10">
        <f>IF(G39="","",VLOOKUP(G39,'MASTER DATA'!C:J,8,FALSE))</f>
        <v>1635</v>
      </c>
      <c r="K39" s="10" t="str">
        <f>IF(I39="","",VLOOKUP(I39,'MASTER DATA'!F:G,2,FALSE ))</f>
        <v>Vijay Yadav</v>
      </c>
      <c r="L39" s="10">
        <f>IF(K39="","",VLOOKUP(K39,'MASTER DATA'!G:K,5,FALSE))</f>
        <v>1463</v>
      </c>
      <c r="M39" s="10" t="str">
        <f>IF(G39="","",VLOOKUP(G39,'MASTER DATA'!C:L,10,0))</f>
        <v>Mayur Luhadia</v>
      </c>
      <c r="N39" s="5" t="str">
        <f>VLOOKUP(G39,'MASTER DATA'!C:I,7,0)</f>
        <v>Ajay Gupta</v>
      </c>
      <c r="O39" s="5" t="s">
        <v>74</v>
      </c>
      <c r="P39" s="5" t="str">
        <f t="shared" si="11"/>
        <v>Done</v>
      </c>
      <c r="Q39" s="7">
        <v>45510</v>
      </c>
      <c r="R39" s="9"/>
      <c r="S39" s="8" t="s">
        <v>51</v>
      </c>
      <c r="T39" s="8">
        <v>990000</v>
      </c>
      <c r="U39" s="7">
        <v>45511</v>
      </c>
      <c r="V39" s="5">
        <v>500000</v>
      </c>
      <c r="W39" s="7">
        <v>45511</v>
      </c>
      <c r="X39" s="5" t="str">
        <f t="shared" si="1"/>
        <v>Aug</v>
      </c>
      <c r="Y39" s="7"/>
      <c r="Z39" s="7"/>
      <c r="AA39" s="5" t="str">
        <f t="shared" si="7"/>
        <v/>
      </c>
      <c r="AB39" s="7"/>
      <c r="AC39" s="7"/>
      <c r="AD39" s="5"/>
      <c r="AE39" s="7"/>
      <c r="AF39" s="6"/>
      <c r="AG39" s="5"/>
      <c r="AH39" s="5">
        <f t="shared" si="12"/>
        <v>0</v>
      </c>
      <c r="AI39" s="5">
        <f t="shared" si="13"/>
        <v>1</v>
      </c>
      <c r="AJ39" s="5" t="str">
        <f t="shared" si="14"/>
        <v>-</v>
      </c>
    </row>
    <row r="40" spans="1:36" x14ac:dyDescent="0.25">
      <c r="A40" s="5">
        <v>39</v>
      </c>
      <c r="B40" s="130">
        <v>9705</v>
      </c>
      <c r="C40" s="14">
        <v>45510</v>
      </c>
      <c r="D40" s="5" t="str">
        <f t="shared" si="10"/>
        <v>Aug</v>
      </c>
      <c r="E40" s="8" t="s">
        <v>60</v>
      </c>
      <c r="F40" s="13" t="s">
        <v>570</v>
      </c>
      <c r="G40" s="12">
        <v>3458</v>
      </c>
      <c r="H40" s="11" t="str">
        <f>IF(G40="","",VLOOKUP(G40,'MASTER DATA'!C:D,2,FALSE ))</f>
        <v>Ram Kishor Meena</v>
      </c>
      <c r="I40" s="10" t="str">
        <f>IF(G40="","",VLOOKUP(G40,'MASTER DATA'!C:F,4,FALSE ))</f>
        <v>Heera Lal Meena</v>
      </c>
      <c r="J40" s="10">
        <f>IF(G40="","",VLOOKUP(G40,'MASTER DATA'!C:J,8,FALSE))</f>
        <v>3457</v>
      </c>
      <c r="K40" s="10" t="str">
        <f>IF(I40="","",VLOOKUP(I40,'MASTER DATA'!F:G,2,FALSE ))</f>
        <v>Saurabh Sharma</v>
      </c>
      <c r="L40" s="10">
        <f>IF(K40="","",VLOOKUP(K40,'MASTER DATA'!G:K,5,FALSE))</f>
        <v>1766</v>
      </c>
      <c r="M40" s="10" t="str">
        <f>IF(G40="","",VLOOKUP(G40,'MASTER DATA'!C:L,10,0))</f>
        <v>Pawan Khandelwal</v>
      </c>
      <c r="N40" s="5" t="str">
        <f>VLOOKUP(G40,'MASTER DATA'!C:I,7,0)</f>
        <v>Pradeep kumar Rohlan</v>
      </c>
      <c r="O40" s="5" t="s">
        <v>559</v>
      </c>
      <c r="P40" s="5" t="str">
        <f t="shared" si="11"/>
        <v>Done</v>
      </c>
      <c r="Q40" s="7">
        <v>45511</v>
      </c>
      <c r="R40" s="9" t="s">
        <v>635</v>
      </c>
      <c r="S40" s="8" t="s">
        <v>21</v>
      </c>
      <c r="T40" s="8">
        <v>800000</v>
      </c>
      <c r="U40" s="7"/>
      <c r="V40" s="5"/>
      <c r="W40" s="7"/>
      <c r="X40" s="5" t="str">
        <f t="shared" si="1"/>
        <v/>
      </c>
      <c r="Y40" s="7">
        <v>45511</v>
      </c>
      <c r="Z40" s="7">
        <v>45512</v>
      </c>
      <c r="AA40" s="5" t="str">
        <f t="shared" ref="AA40:AA71" si="15">IF(AND(ISBLANK(Y40), ISBLANK(Z40)), "", IF(AND(NOT(ISBLANK(Y40)), ISBLANK(Z40)), "Pending", IF(AND(ISBLANK(Y40), NOT(ISBLANK(Z40))), "Received", "Received")))</f>
        <v>Received</v>
      </c>
      <c r="AB40" s="7"/>
      <c r="AC40" s="7"/>
      <c r="AD40" s="5"/>
      <c r="AE40" s="7"/>
      <c r="AF40" s="6"/>
      <c r="AG40" s="5"/>
      <c r="AH40" s="5">
        <f t="shared" si="12"/>
        <v>1</v>
      </c>
      <c r="AI40" s="5" t="str">
        <f t="shared" si="13"/>
        <v>-</v>
      </c>
      <c r="AJ40" s="5" t="str">
        <f t="shared" si="14"/>
        <v>-</v>
      </c>
    </row>
    <row r="41" spans="1:36" x14ac:dyDescent="0.25">
      <c r="A41" s="5">
        <v>40</v>
      </c>
      <c r="B41" s="130">
        <v>9706</v>
      </c>
      <c r="C41" s="14">
        <v>45510</v>
      </c>
      <c r="D41" s="5" t="str">
        <f t="shared" si="10"/>
        <v>Aug</v>
      </c>
      <c r="E41" s="8" t="s">
        <v>66</v>
      </c>
      <c r="F41" s="13" t="s">
        <v>571</v>
      </c>
      <c r="G41" s="12">
        <v>3300</v>
      </c>
      <c r="H41" s="11" t="str">
        <f>IF(G41="","",VLOOKUP(G41,'MASTER DATA'!C:D,2,FALSE ))</f>
        <v>Dilip Singh</v>
      </c>
      <c r="I41" s="10" t="str">
        <f>IF(G41="","",VLOOKUP(G41,'MASTER DATA'!C:F,4,FALSE ))</f>
        <v>Ramprasad Barothiya</v>
      </c>
      <c r="J41" s="10">
        <f>IF(G41="","",VLOOKUP(G41,'MASTER DATA'!C:J,8,FALSE))</f>
        <v>3258</v>
      </c>
      <c r="K41" s="10" t="str">
        <f>IF(I41="","",VLOOKUP(I41,'MASTER DATA'!F:G,2,FALSE ))</f>
        <v>TBI (Ratlam)</v>
      </c>
      <c r="L41" s="10" t="str">
        <f>IF(K41="","",VLOOKUP(K41,'MASTER DATA'!G:K,5,FALSE))</f>
        <v>TBI (Ratlam)</v>
      </c>
      <c r="M41" s="10" t="str">
        <f>IF(G41="","",VLOOKUP(G41,'MASTER DATA'!C:L,10,0))</f>
        <v>Ranjan Somani</v>
      </c>
      <c r="N41" s="5" t="str">
        <f>VLOOKUP(G41,'MASTER DATA'!C:I,7,0)</f>
        <v>Manoj Chauhan</v>
      </c>
      <c r="O41" s="5" t="s">
        <v>28</v>
      </c>
      <c r="P41" s="5" t="str">
        <f t="shared" si="11"/>
        <v>Done</v>
      </c>
      <c r="Q41" s="7">
        <v>45511</v>
      </c>
      <c r="R41" s="9" t="s">
        <v>661</v>
      </c>
      <c r="S41" s="8" t="s">
        <v>21</v>
      </c>
      <c r="T41" s="8">
        <v>600000</v>
      </c>
      <c r="U41" s="7"/>
      <c r="V41" s="5"/>
      <c r="W41" s="7"/>
      <c r="X41" s="5" t="str">
        <f t="shared" si="1"/>
        <v/>
      </c>
      <c r="Y41" s="7">
        <v>45511</v>
      </c>
      <c r="Z41" s="7">
        <v>45512</v>
      </c>
      <c r="AA41" s="5" t="str">
        <f t="shared" si="15"/>
        <v>Received</v>
      </c>
      <c r="AB41" s="7"/>
      <c r="AC41" s="7"/>
      <c r="AD41" s="5"/>
      <c r="AE41" s="7"/>
      <c r="AF41" s="6"/>
      <c r="AG41" s="5"/>
      <c r="AH41" s="5">
        <f t="shared" si="12"/>
        <v>1</v>
      </c>
      <c r="AI41" s="5" t="str">
        <f t="shared" si="13"/>
        <v>-</v>
      </c>
      <c r="AJ41" s="5" t="str">
        <f t="shared" si="14"/>
        <v>-</v>
      </c>
    </row>
    <row r="42" spans="1:36" x14ac:dyDescent="0.25">
      <c r="A42" s="5">
        <v>41</v>
      </c>
      <c r="B42" s="130">
        <v>9729</v>
      </c>
      <c r="C42" s="14">
        <v>45510</v>
      </c>
      <c r="D42" s="5" t="str">
        <f t="shared" si="10"/>
        <v>Aug</v>
      </c>
      <c r="E42" s="8" t="s">
        <v>13</v>
      </c>
      <c r="F42" s="13" t="s">
        <v>572</v>
      </c>
      <c r="G42" s="12">
        <v>3190</v>
      </c>
      <c r="H42" s="11" t="str">
        <f>IF(G42="","",VLOOKUP(G42,'MASTER DATA'!C:D,2,FALSE ))</f>
        <v>Rishi Kumar Sisodiya</v>
      </c>
      <c r="I42" s="10" t="str">
        <f>IF(G42="","",VLOOKUP(G42,'MASTER DATA'!C:F,4,FALSE ))</f>
        <v>Ankur Khole</v>
      </c>
      <c r="J42" s="10">
        <f>IF(G42="","",VLOOKUP(G42,'MASTER DATA'!C:J,8,FALSE))</f>
        <v>3052</v>
      </c>
      <c r="K42" s="10" t="str">
        <f>IF(I42="","",VLOOKUP(I42,'MASTER DATA'!F:G,2,FALSE ))</f>
        <v>Ankur Khole</v>
      </c>
      <c r="L42" s="10">
        <f>IF(K42="","",VLOOKUP(K42,'MASTER DATA'!G:K,5,FALSE))</f>
        <v>3052</v>
      </c>
      <c r="M42" s="10" t="str">
        <f>IF(G42="","",VLOOKUP(G42,'MASTER DATA'!C:L,10,0))</f>
        <v>Ranjan Somani</v>
      </c>
      <c r="N42" s="5" t="str">
        <f>VLOOKUP(G42,'MASTER DATA'!C:I,7,0)</f>
        <v>Manoj Chauhan</v>
      </c>
      <c r="O42" s="5" t="s">
        <v>32</v>
      </c>
      <c r="P42" s="5" t="str">
        <f t="shared" si="11"/>
        <v>Done</v>
      </c>
      <c r="Q42" s="7">
        <v>45512</v>
      </c>
      <c r="R42" s="9"/>
      <c r="S42" s="8" t="s">
        <v>7</v>
      </c>
      <c r="T42" s="8">
        <v>800000</v>
      </c>
      <c r="U42" s="7"/>
      <c r="V42" s="5"/>
      <c r="W42" s="7"/>
      <c r="X42" s="5" t="str">
        <f t="shared" si="1"/>
        <v/>
      </c>
      <c r="Y42" s="7"/>
      <c r="Z42" s="7"/>
      <c r="AA42" s="5" t="str">
        <f t="shared" si="15"/>
        <v/>
      </c>
      <c r="AB42" s="7"/>
      <c r="AC42" s="7"/>
      <c r="AD42" s="5"/>
      <c r="AE42" s="7"/>
      <c r="AF42" s="6"/>
      <c r="AG42" s="5"/>
      <c r="AH42" s="5">
        <f t="shared" si="12"/>
        <v>2</v>
      </c>
      <c r="AI42" s="5" t="str">
        <f t="shared" si="13"/>
        <v>-</v>
      </c>
      <c r="AJ42" s="5" t="str">
        <f t="shared" si="14"/>
        <v>-</v>
      </c>
    </row>
    <row r="43" spans="1:36" x14ac:dyDescent="0.25">
      <c r="A43" s="5">
        <v>42</v>
      </c>
      <c r="B43" s="130">
        <v>9692</v>
      </c>
      <c r="C43" s="14">
        <v>45510</v>
      </c>
      <c r="D43" s="5" t="str">
        <f t="shared" si="10"/>
        <v>Aug</v>
      </c>
      <c r="E43" s="8" t="s">
        <v>46</v>
      </c>
      <c r="F43" s="13" t="s">
        <v>573</v>
      </c>
      <c r="G43" s="12">
        <v>3317</v>
      </c>
      <c r="H43" s="11" t="str">
        <f>IF(G43="","",VLOOKUP(G43,'MASTER DATA'!C:D,2,FALSE ))</f>
        <v>Gopichand Mujhalde</v>
      </c>
      <c r="I43" s="10" t="str">
        <f>IF(G43="","",VLOOKUP(G43,'MASTER DATA'!C:F,4,FALSE ))</f>
        <v>Nitesh</v>
      </c>
      <c r="J43" s="10">
        <f>IF(G43="","",VLOOKUP(G43,'MASTER DATA'!C:J,8,FALSE))</f>
        <v>3286</v>
      </c>
      <c r="K43" s="10" t="str">
        <f>IF(I43="","",VLOOKUP(I43,'MASTER DATA'!F:G,2,FALSE ))</f>
        <v>Ankur Khole</v>
      </c>
      <c r="L43" s="10">
        <f>IF(K43="","",VLOOKUP(K43,'MASTER DATA'!G:K,5,FALSE))</f>
        <v>3052</v>
      </c>
      <c r="M43" s="10" t="str">
        <f>IF(G43="","",VLOOKUP(G43,'MASTER DATA'!C:L,10,0))</f>
        <v>Ranjan Somani</v>
      </c>
      <c r="N43" s="5" t="str">
        <f>VLOOKUP(G43,'MASTER DATA'!C:I,7,0)</f>
        <v>Manoj Chauhan</v>
      </c>
      <c r="O43" s="5" t="s">
        <v>16</v>
      </c>
      <c r="P43" s="5" t="str">
        <f t="shared" si="11"/>
        <v>Done</v>
      </c>
      <c r="Q43" s="7">
        <v>45511</v>
      </c>
      <c r="R43" s="9"/>
      <c r="S43" s="8" t="s">
        <v>27</v>
      </c>
      <c r="T43" s="8">
        <v>500000</v>
      </c>
      <c r="U43" s="7">
        <v>45511</v>
      </c>
      <c r="V43" s="5"/>
      <c r="W43" s="7"/>
      <c r="X43" s="5" t="str">
        <f t="shared" si="1"/>
        <v/>
      </c>
      <c r="Y43" s="7"/>
      <c r="Z43" s="7"/>
      <c r="AA43" s="5" t="str">
        <f t="shared" si="15"/>
        <v/>
      </c>
      <c r="AB43" s="7"/>
      <c r="AC43" s="7"/>
      <c r="AD43" s="5"/>
      <c r="AE43" s="7"/>
      <c r="AF43" s="6" t="s">
        <v>62</v>
      </c>
      <c r="AG43" s="5" t="s">
        <v>623</v>
      </c>
      <c r="AH43" s="5">
        <f t="shared" si="12"/>
        <v>1</v>
      </c>
      <c r="AI43" s="5" t="str">
        <f t="shared" si="13"/>
        <v>-</v>
      </c>
      <c r="AJ43" s="5" t="str">
        <f t="shared" si="14"/>
        <v>-</v>
      </c>
    </row>
    <row r="44" spans="1:36" x14ac:dyDescent="0.25">
      <c r="A44" s="5">
        <v>43</v>
      </c>
      <c r="B44" s="130">
        <v>9698</v>
      </c>
      <c r="C44" s="14">
        <v>45510</v>
      </c>
      <c r="D44" s="5" t="str">
        <f t="shared" si="10"/>
        <v>Aug</v>
      </c>
      <c r="E44" s="8" t="s">
        <v>6</v>
      </c>
      <c r="F44" s="13" t="s">
        <v>574</v>
      </c>
      <c r="G44" s="12">
        <v>3325</v>
      </c>
      <c r="H44" s="11" t="str">
        <f>IF(G44="","",VLOOKUP(G44,'MASTER DATA'!C:D,2,FALSE ))</f>
        <v>Vikas Kumar</v>
      </c>
      <c r="I44" s="10" t="str">
        <f>IF(G44="","",VLOOKUP(G44,'MASTER DATA'!C:F,4,FALSE ))</f>
        <v>Vikash kumar</v>
      </c>
      <c r="J44" s="10">
        <f>IF(G44="","",VLOOKUP(G44,'MASTER DATA'!C:J,8,FALSE))</f>
        <v>3237</v>
      </c>
      <c r="K44" s="10" t="str">
        <f>IF(I44="","",VLOOKUP(I44,'MASTER DATA'!F:G,2,FALSE ))</f>
        <v>Santosh Kumar</v>
      </c>
      <c r="L44" s="10">
        <f>IF(K44="","",VLOOKUP(K44,'MASTER DATA'!G:K,5,FALSE))</f>
        <v>1447</v>
      </c>
      <c r="M44" s="10" t="str">
        <f>IF(G44="","",VLOOKUP(G44,'MASTER DATA'!C:L,10,0))</f>
        <v>Mayur Luhadia</v>
      </c>
      <c r="N44" s="5" t="str">
        <f>VLOOKUP(G44,'MASTER DATA'!C:I,7,0)</f>
        <v>Sunil Bagoria</v>
      </c>
      <c r="O44" s="5" t="s">
        <v>599</v>
      </c>
      <c r="P44" s="5" t="str">
        <f t="shared" si="11"/>
        <v>Done</v>
      </c>
      <c r="Q44" s="7">
        <v>45512</v>
      </c>
      <c r="R44" s="9"/>
      <c r="S44" s="8" t="s">
        <v>27</v>
      </c>
      <c r="T44" s="8">
        <v>700000</v>
      </c>
      <c r="U44" s="7">
        <v>45512</v>
      </c>
      <c r="V44" s="5"/>
      <c r="W44" s="7"/>
      <c r="X44" s="5" t="str">
        <f t="shared" si="1"/>
        <v/>
      </c>
      <c r="Y44" s="7"/>
      <c r="Z44" s="7"/>
      <c r="AA44" s="5" t="str">
        <f t="shared" si="15"/>
        <v/>
      </c>
      <c r="AB44" s="7"/>
      <c r="AC44" s="7"/>
      <c r="AD44" s="5"/>
      <c r="AE44" s="7"/>
      <c r="AF44" s="6" t="s">
        <v>64</v>
      </c>
      <c r="AG44" s="5" t="s">
        <v>651</v>
      </c>
      <c r="AH44" s="5">
        <f t="shared" si="12"/>
        <v>2</v>
      </c>
      <c r="AI44" s="5" t="str">
        <f t="shared" si="13"/>
        <v>-</v>
      </c>
      <c r="AJ44" s="5" t="str">
        <f t="shared" si="14"/>
        <v>-</v>
      </c>
    </row>
    <row r="45" spans="1:36" x14ac:dyDescent="0.25">
      <c r="A45" s="5">
        <v>44</v>
      </c>
      <c r="B45" s="130">
        <v>9696</v>
      </c>
      <c r="C45" s="14">
        <v>45510</v>
      </c>
      <c r="D45" s="5" t="str">
        <f t="shared" si="10"/>
        <v>Aug</v>
      </c>
      <c r="E45" s="8" t="s">
        <v>36</v>
      </c>
      <c r="F45" s="13" t="s">
        <v>575</v>
      </c>
      <c r="G45" s="12">
        <v>3348</v>
      </c>
      <c r="H45" s="11" t="str">
        <f>IF(G45="","",VLOOKUP(G45,'MASTER DATA'!C:D,2,FALSE ))</f>
        <v>Amandeep Singh</v>
      </c>
      <c r="I45" s="10" t="str">
        <f>IF(G45="","",VLOOKUP(G45,'MASTER DATA'!C:F,4,FALSE ))</f>
        <v>Ram Pratap Rathi</v>
      </c>
      <c r="J45" s="10">
        <f>IF(G45="","",VLOOKUP(G45,'MASTER DATA'!C:J,8,FALSE))</f>
        <v>3134</v>
      </c>
      <c r="K45" s="10" t="str">
        <f>IF(I45="","",VLOOKUP(I45,'MASTER DATA'!F:G,2,FALSE ))</f>
        <v>Gurdeep Singh</v>
      </c>
      <c r="L45" s="10">
        <f>IF(K45="","",VLOOKUP(K45,'MASTER DATA'!G:K,5,FALSE))</f>
        <v>3256</v>
      </c>
      <c r="M45" s="10" t="str">
        <f>IF(G45="","",VLOOKUP(G45,'MASTER DATA'!C:L,10,0))</f>
        <v>Mayur Luhadia</v>
      </c>
      <c r="N45" s="5" t="str">
        <f>VLOOKUP(G45,'MASTER DATA'!C:I,7,0)</f>
        <v>Mohan Shankar Sharma</v>
      </c>
      <c r="O45" s="5" t="s">
        <v>545</v>
      </c>
      <c r="P45" s="5" t="str">
        <f t="shared" si="11"/>
        <v>Done</v>
      </c>
      <c r="Q45" s="7">
        <v>45512</v>
      </c>
      <c r="R45" s="9" t="s">
        <v>638</v>
      </c>
      <c r="S45" s="8" t="s">
        <v>21</v>
      </c>
      <c r="T45" s="8">
        <v>900000</v>
      </c>
      <c r="U45" s="7"/>
      <c r="V45" s="5"/>
      <c r="W45" s="7"/>
      <c r="X45" s="5" t="str">
        <f t="shared" si="1"/>
        <v/>
      </c>
      <c r="Y45" s="7"/>
      <c r="Z45" s="7"/>
      <c r="AA45" s="5" t="str">
        <f t="shared" si="15"/>
        <v/>
      </c>
      <c r="AB45" s="7"/>
      <c r="AC45" s="7"/>
      <c r="AD45" s="5"/>
      <c r="AE45" s="7"/>
      <c r="AF45" s="6"/>
      <c r="AG45" s="5"/>
      <c r="AH45" s="5">
        <f t="shared" si="12"/>
        <v>2</v>
      </c>
      <c r="AI45" s="5" t="str">
        <f t="shared" si="13"/>
        <v>-</v>
      </c>
      <c r="AJ45" s="5" t="str">
        <f t="shared" si="14"/>
        <v>-</v>
      </c>
    </row>
    <row r="46" spans="1:36" x14ac:dyDescent="0.25">
      <c r="A46" s="5">
        <v>45</v>
      </c>
      <c r="B46" s="130">
        <v>9689</v>
      </c>
      <c r="C46" s="14">
        <v>45510</v>
      </c>
      <c r="D46" s="5" t="str">
        <f t="shared" si="10"/>
        <v>Aug</v>
      </c>
      <c r="E46" s="8" t="s">
        <v>12</v>
      </c>
      <c r="F46" s="13" t="s">
        <v>576</v>
      </c>
      <c r="G46" s="12">
        <v>1691</v>
      </c>
      <c r="H46" s="11" t="str">
        <f>IF(G46="","",VLOOKUP(G46,'MASTER DATA'!C:D,2,FALSE ))</f>
        <v>Dharmveer Choudhary</v>
      </c>
      <c r="I46" s="10" t="str">
        <f>IF(G46="","",VLOOKUP(G46,'MASTER DATA'!C:F,4,FALSE ))</f>
        <v>Ram Niwas Jat</v>
      </c>
      <c r="J46" s="10">
        <f>IF(G46="","",VLOOKUP(G46,'MASTER DATA'!C:J,8,FALSE))</f>
        <v>1519</v>
      </c>
      <c r="K46" s="10" t="str">
        <f>IF(I46="","",VLOOKUP(I46,'MASTER DATA'!F:G,2,FALSE ))</f>
        <v>Vijay Yadav</v>
      </c>
      <c r="L46" s="10">
        <f>IF(K46="","",VLOOKUP(K46,'MASTER DATA'!G:K,5,FALSE))</f>
        <v>1463</v>
      </c>
      <c r="M46" s="10" t="str">
        <f>IF(G46="","",VLOOKUP(G46,'MASTER DATA'!C:L,10,0))</f>
        <v>Mayur Luhadia</v>
      </c>
      <c r="N46" s="5" t="str">
        <f>VLOOKUP(G46,'MASTER DATA'!C:I,7,0)</f>
        <v>Ajay Gupta</v>
      </c>
      <c r="O46" s="5" t="s">
        <v>44</v>
      </c>
      <c r="P46" s="5" t="str">
        <f t="shared" si="11"/>
        <v>Done</v>
      </c>
      <c r="Q46" s="7">
        <v>45511</v>
      </c>
      <c r="R46" s="9"/>
      <c r="S46" s="8" t="s">
        <v>7</v>
      </c>
      <c r="T46" s="8">
        <v>600000</v>
      </c>
      <c r="U46" s="7"/>
      <c r="V46" s="5"/>
      <c r="W46" s="7"/>
      <c r="X46" s="5" t="str">
        <f t="shared" si="1"/>
        <v/>
      </c>
      <c r="Y46" s="7"/>
      <c r="Z46" s="7"/>
      <c r="AA46" s="5" t="str">
        <f t="shared" si="15"/>
        <v/>
      </c>
      <c r="AB46" s="7"/>
      <c r="AC46" s="7"/>
      <c r="AD46" s="5"/>
      <c r="AE46" s="7"/>
      <c r="AF46" s="6"/>
      <c r="AG46" s="5"/>
      <c r="AH46" s="5">
        <f t="shared" si="12"/>
        <v>1</v>
      </c>
      <c r="AI46" s="5" t="str">
        <f t="shared" si="13"/>
        <v>-</v>
      </c>
      <c r="AJ46" s="5" t="str">
        <f t="shared" si="14"/>
        <v>-</v>
      </c>
    </row>
    <row r="47" spans="1:36" x14ac:dyDescent="0.25">
      <c r="A47" s="5">
        <v>46</v>
      </c>
      <c r="B47" s="130">
        <v>9644</v>
      </c>
      <c r="C47" s="14">
        <v>45510</v>
      </c>
      <c r="D47" s="5" t="str">
        <f t="shared" ref="D47" si="16">IF(C47="","",TEXT(C47,"mmm"))</f>
        <v>Aug</v>
      </c>
      <c r="E47" s="8" t="s">
        <v>4</v>
      </c>
      <c r="F47" s="13" t="s">
        <v>577</v>
      </c>
      <c r="G47" s="12">
        <v>3334</v>
      </c>
      <c r="H47" s="11" t="str">
        <f>IF(G47="","",VLOOKUP(G47,'MASTER DATA'!C:D,2,FALSE ))</f>
        <v>Shiv Kumar Meena</v>
      </c>
      <c r="I47" s="10" t="str">
        <f>IF(G47="","",VLOOKUP(G47,'MASTER DATA'!C:F,4,FALSE ))</f>
        <v>Ratinder Singh</v>
      </c>
      <c r="J47" s="10">
        <f>IF(G47="","",VLOOKUP(G47,'MASTER DATA'!C:J,8,FALSE))</f>
        <v>1439</v>
      </c>
      <c r="K47" s="10" t="str">
        <f>IF(I47="","",VLOOKUP(I47,'MASTER DATA'!F:G,2,FALSE ))</f>
        <v>Vijay Yadav</v>
      </c>
      <c r="L47" s="10">
        <f>IF(K47="","",VLOOKUP(K47,'MASTER DATA'!G:K,5,FALSE))</f>
        <v>1463</v>
      </c>
      <c r="M47" s="10" t="str">
        <f>IF(G47="","",VLOOKUP(G47,'MASTER DATA'!C:L,10,0))</f>
        <v>Mayur Luhadia</v>
      </c>
      <c r="N47" s="5" t="str">
        <f>VLOOKUP(G47,'MASTER DATA'!C:I,7,0)</f>
        <v>Ajay Gupta</v>
      </c>
      <c r="O47" s="5" t="s">
        <v>44</v>
      </c>
      <c r="P47" s="5" t="str">
        <f t="shared" ref="P47:P61" si="17">IF(O47="","","Done")</f>
        <v>Done</v>
      </c>
      <c r="Q47" s="7">
        <v>45511</v>
      </c>
      <c r="R47" s="9"/>
      <c r="S47" s="8" t="s">
        <v>45</v>
      </c>
      <c r="T47" s="8">
        <v>700000</v>
      </c>
      <c r="U47" s="7"/>
      <c r="V47" s="5"/>
      <c r="W47" s="7"/>
      <c r="X47" s="5" t="str">
        <f t="shared" ref="X47:X61" si="18">IF(W47="","",TEXT(W47,"mmm"))</f>
        <v/>
      </c>
      <c r="Y47" s="7"/>
      <c r="Z47" s="7"/>
      <c r="AA47" s="5" t="str">
        <f t="shared" si="15"/>
        <v/>
      </c>
      <c r="AB47" s="7"/>
      <c r="AC47" s="7"/>
      <c r="AD47" s="5"/>
      <c r="AE47" s="7"/>
      <c r="AF47" s="6"/>
      <c r="AG47" s="5"/>
      <c r="AH47" s="5">
        <f t="shared" si="12"/>
        <v>1</v>
      </c>
      <c r="AI47" s="5" t="str">
        <f t="shared" si="13"/>
        <v>-</v>
      </c>
      <c r="AJ47" s="5" t="str">
        <f t="shared" si="14"/>
        <v>-</v>
      </c>
    </row>
    <row r="48" spans="1:36" x14ac:dyDescent="0.25">
      <c r="A48" s="5">
        <v>47</v>
      </c>
      <c r="B48" s="130">
        <v>9654</v>
      </c>
      <c r="C48" s="14">
        <v>45510</v>
      </c>
      <c r="D48" s="5" t="str">
        <f t="shared" ref="D48:D62" si="19">IF(C48="","",TEXT(C48,"mmm"))</f>
        <v>Aug</v>
      </c>
      <c r="E48" s="8" t="s">
        <v>19</v>
      </c>
      <c r="F48" s="13" t="s">
        <v>578</v>
      </c>
      <c r="G48" s="12">
        <v>3151</v>
      </c>
      <c r="H48" s="11" t="str">
        <f>IF(G48="","",VLOOKUP(G48,'MASTER DATA'!C:D,2,FALSE ))</f>
        <v>Prem Chand</v>
      </c>
      <c r="I48" s="10" t="str">
        <f>IF(G48="","",VLOOKUP(G48,'MASTER DATA'!C:F,4,FALSE ))</f>
        <v>Anupam Delu</v>
      </c>
      <c r="J48" s="10">
        <f>IF(G48="","",VLOOKUP(G48,'MASTER DATA'!C:J,8,FALSE))</f>
        <v>3392</v>
      </c>
      <c r="K48" s="10" t="str">
        <f>IF(I48="","",VLOOKUP(I48,'MASTER DATA'!F:G,2,FALSE ))</f>
        <v>Gajanand Purohit</v>
      </c>
      <c r="L48" s="10">
        <f>IF(K48="","",VLOOKUP(K48,'MASTER DATA'!G:K,5,FALSE))</f>
        <v>1596</v>
      </c>
      <c r="M48" s="10" t="str">
        <f>IF(G48="","",VLOOKUP(G48,'MASTER DATA'!C:L,10,0))</f>
        <v>Mayur Luhadia</v>
      </c>
      <c r="N48" s="5" t="str">
        <f>VLOOKUP(G48,'MASTER DATA'!C:I,7,0)</f>
        <v>Pradeep kumar Rohlan</v>
      </c>
      <c r="O48" s="5" t="s">
        <v>565</v>
      </c>
      <c r="P48" s="5" t="str">
        <f t="shared" si="17"/>
        <v>Done</v>
      </c>
      <c r="Q48" s="7">
        <v>45511</v>
      </c>
      <c r="R48" s="9"/>
      <c r="S48" s="8" t="s">
        <v>45</v>
      </c>
      <c r="T48" s="8">
        <v>500000</v>
      </c>
      <c r="U48" s="7"/>
      <c r="V48" s="5"/>
      <c r="W48" s="7"/>
      <c r="X48" s="5" t="str">
        <f t="shared" si="18"/>
        <v/>
      </c>
      <c r="Y48" s="7"/>
      <c r="Z48" s="7"/>
      <c r="AA48" s="5" t="str">
        <f t="shared" si="15"/>
        <v/>
      </c>
      <c r="AB48" s="7"/>
      <c r="AC48" s="7"/>
      <c r="AD48" s="5"/>
      <c r="AE48" s="7"/>
      <c r="AF48" s="6"/>
      <c r="AG48" s="5"/>
      <c r="AH48" s="5">
        <f t="shared" si="12"/>
        <v>1</v>
      </c>
      <c r="AI48" s="5" t="str">
        <f t="shared" si="13"/>
        <v>-</v>
      </c>
      <c r="AJ48" s="5" t="str">
        <f t="shared" si="14"/>
        <v>-</v>
      </c>
    </row>
    <row r="49" spans="1:36" x14ac:dyDescent="0.25">
      <c r="A49" s="5">
        <v>48</v>
      </c>
      <c r="B49" s="130">
        <v>9096</v>
      </c>
      <c r="C49" s="14">
        <v>45510</v>
      </c>
      <c r="D49" s="5" t="str">
        <f t="shared" si="19"/>
        <v>Aug</v>
      </c>
      <c r="E49" s="8" t="s">
        <v>50</v>
      </c>
      <c r="F49" s="13" t="s">
        <v>579</v>
      </c>
      <c r="G49" s="12">
        <v>3391</v>
      </c>
      <c r="H49" s="11" t="str">
        <f>IF(G49="","",VLOOKUP(G49,'MASTER DATA'!C:D,2,FALSE ))</f>
        <v>Bharat Kumar</v>
      </c>
      <c r="I49" s="10" t="str">
        <f>IF(G49="","",VLOOKUP(G49,'MASTER DATA'!C:F,4,FALSE ))</f>
        <v>Suresh Kumar</v>
      </c>
      <c r="J49" s="10">
        <f>IF(G49="","",VLOOKUP(G49,'MASTER DATA'!C:J,8,FALSE))</f>
        <v>3235</v>
      </c>
      <c r="K49" s="10" t="str">
        <f>IF(I49="","",VLOOKUP(I49,'MASTER DATA'!F:G,2,FALSE ))</f>
        <v>Tarun Jain</v>
      </c>
      <c r="L49" s="10">
        <f>IF(K49="","",VLOOKUP(K49,'MASTER DATA'!G:K,5,FALSE))</f>
        <v>3490</v>
      </c>
      <c r="M49" s="10" t="str">
        <f>IF(G49="","",VLOOKUP(G49,'MASTER DATA'!C:L,10,0))</f>
        <v>Mayur Luhadia</v>
      </c>
      <c r="N49" s="5" t="str">
        <f>VLOOKUP(G49,'MASTER DATA'!C:I,7,0)</f>
        <v>Sunil Bagoria</v>
      </c>
      <c r="O49" s="5" t="s">
        <v>49</v>
      </c>
      <c r="P49" s="5" t="str">
        <f t="shared" si="17"/>
        <v>Done</v>
      </c>
      <c r="Q49" s="7">
        <v>45512</v>
      </c>
      <c r="R49" s="9"/>
      <c r="S49" s="8" t="s">
        <v>27</v>
      </c>
      <c r="T49" s="8">
        <v>300000</v>
      </c>
      <c r="U49" s="7">
        <v>45512</v>
      </c>
      <c r="V49" s="5"/>
      <c r="W49" s="7"/>
      <c r="X49" s="5" t="str">
        <f t="shared" si="18"/>
        <v/>
      </c>
      <c r="Y49" s="7"/>
      <c r="Z49" s="7"/>
      <c r="AA49" s="5" t="str">
        <f t="shared" si="15"/>
        <v/>
      </c>
      <c r="AB49" s="7"/>
      <c r="AC49" s="7"/>
      <c r="AD49" s="5"/>
      <c r="AE49" s="7"/>
      <c r="AF49" s="6" t="s">
        <v>596</v>
      </c>
      <c r="AG49" s="5" t="s">
        <v>662</v>
      </c>
      <c r="AH49" s="5">
        <f t="shared" si="12"/>
        <v>2</v>
      </c>
      <c r="AI49" s="5" t="str">
        <f t="shared" si="13"/>
        <v>-</v>
      </c>
      <c r="AJ49" s="5" t="str">
        <f t="shared" si="14"/>
        <v>-</v>
      </c>
    </row>
    <row r="50" spans="1:36" x14ac:dyDescent="0.25">
      <c r="A50" s="5">
        <v>49</v>
      </c>
      <c r="B50" s="130">
        <v>9627</v>
      </c>
      <c r="C50" s="14">
        <v>45510</v>
      </c>
      <c r="D50" s="5" t="str">
        <f t="shared" si="19"/>
        <v>Aug</v>
      </c>
      <c r="E50" s="8" t="s">
        <v>33</v>
      </c>
      <c r="F50" s="13" t="s">
        <v>580</v>
      </c>
      <c r="G50" s="12">
        <v>3459</v>
      </c>
      <c r="H50" s="11" t="str">
        <f>IF(G50="","",VLOOKUP(G50,'MASTER DATA'!C:D,2,FALSE ))</f>
        <v>Kisana Ram Meghwal</v>
      </c>
      <c r="I50" s="10" t="str">
        <f>IF(G50="","",VLOOKUP(G50,'MASTER DATA'!C:F,4,FALSE ))</f>
        <v>Vikram Bishnoi</v>
      </c>
      <c r="J50" s="10">
        <f>IF(G50="","",VLOOKUP(G50,'MASTER DATA'!C:J,8,FALSE))</f>
        <v>3180</v>
      </c>
      <c r="K50" s="10" t="str">
        <f>IF(I50="","",VLOOKUP(I50,'MASTER DATA'!F:G,2,FALSE ))</f>
        <v>Gajanand Purohit</v>
      </c>
      <c r="L50" s="10">
        <f>IF(K50="","",VLOOKUP(K50,'MASTER DATA'!G:K,5,FALSE))</f>
        <v>1596</v>
      </c>
      <c r="M50" s="10" t="str">
        <f>IF(G50="","",VLOOKUP(G50,'MASTER DATA'!C:L,10,0))</f>
        <v>Mayur Luhadia</v>
      </c>
      <c r="N50" s="5" t="str">
        <f>VLOOKUP(G50,'MASTER DATA'!C:I,7,0)</f>
        <v>Pradeep kumar Rohlan</v>
      </c>
      <c r="O50" s="5" t="s">
        <v>547</v>
      </c>
      <c r="P50" s="5" t="str">
        <f t="shared" si="17"/>
        <v>Done</v>
      </c>
      <c r="Q50" s="7">
        <v>45512</v>
      </c>
      <c r="R50" s="9"/>
      <c r="S50" s="8" t="s">
        <v>7</v>
      </c>
      <c r="T50" s="8">
        <v>450000</v>
      </c>
      <c r="U50" s="7"/>
      <c r="V50" s="5"/>
      <c r="W50" s="7"/>
      <c r="X50" s="5" t="str">
        <f t="shared" si="18"/>
        <v/>
      </c>
      <c r="Y50" s="7"/>
      <c r="Z50" s="7"/>
      <c r="AA50" s="5" t="str">
        <f t="shared" si="15"/>
        <v/>
      </c>
      <c r="AB50" s="7"/>
      <c r="AC50" s="7"/>
      <c r="AD50" s="5"/>
      <c r="AE50" s="7"/>
      <c r="AF50" s="6"/>
      <c r="AG50" s="5"/>
      <c r="AH50" s="5">
        <f t="shared" si="12"/>
        <v>2</v>
      </c>
      <c r="AI50" s="5" t="str">
        <f t="shared" si="13"/>
        <v>-</v>
      </c>
      <c r="AJ50" s="5" t="str">
        <f t="shared" si="14"/>
        <v>-</v>
      </c>
    </row>
    <row r="51" spans="1:36" x14ac:dyDescent="0.25">
      <c r="A51" s="5">
        <v>50</v>
      </c>
      <c r="B51" s="130">
        <v>9633</v>
      </c>
      <c r="C51" s="14">
        <v>45510</v>
      </c>
      <c r="D51" s="5" t="str">
        <f t="shared" si="19"/>
        <v>Aug</v>
      </c>
      <c r="E51" s="8" t="s">
        <v>467</v>
      </c>
      <c r="F51" s="13" t="s">
        <v>581</v>
      </c>
      <c r="G51" s="12">
        <v>3131</v>
      </c>
      <c r="H51" s="11" t="str">
        <f>IF(G51="","",VLOOKUP(G51,'MASTER DATA'!C:D,2,FALSE ))</f>
        <v>Dinesh Kumar Sharma</v>
      </c>
      <c r="I51" s="10" t="str">
        <f>IF(G51="","",VLOOKUP(G51,'MASTER DATA'!C:F,4,FALSE ))</f>
        <v>Bharat Singh Kuntal</v>
      </c>
      <c r="J51" s="10">
        <f>IF(G51="","",VLOOKUP(G51,'MASTER DATA'!C:J,8,FALSE))</f>
        <v>1772</v>
      </c>
      <c r="K51" s="10" t="str">
        <f>IF(I51="","",VLOOKUP(I51,'MASTER DATA'!F:G,2,FALSE ))</f>
        <v>Bharat Singh Kuntal</v>
      </c>
      <c r="L51" s="10">
        <f>IF(K51="","",VLOOKUP(K51,'MASTER DATA'!G:K,5,FALSE))</f>
        <v>1772</v>
      </c>
      <c r="M51" s="10" t="str">
        <f>IF(G51="","",VLOOKUP(G51,'MASTER DATA'!C:L,10,0))</f>
        <v>Mayur Luhadia</v>
      </c>
      <c r="N51" s="5" t="str">
        <f>VLOOKUP(G51,'MASTER DATA'!C:I,7,0)</f>
        <v>Sunil Bagoria</v>
      </c>
      <c r="O51" s="5" t="s">
        <v>58</v>
      </c>
      <c r="P51" s="5" t="str">
        <f t="shared" si="17"/>
        <v>Done</v>
      </c>
      <c r="Q51" s="7">
        <v>45511</v>
      </c>
      <c r="R51" s="9"/>
      <c r="S51" s="8" t="s">
        <v>27</v>
      </c>
      <c r="T51" s="8">
        <v>500000</v>
      </c>
      <c r="U51" s="7">
        <v>45511</v>
      </c>
      <c r="V51" s="5"/>
      <c r="W51" s="7"/>
      <c r="X51" s="5" t="str">
        <f t="shared" si="18"/>
        <v/>
      </c>
      <c r="Y51" s="7"/>
      <c r="Z51" s="7"/>
      <c r="AA51" s="5" t="str">
        <f t="shared" si="15"/>
        <v/>
      </c>
      <c r="AB51" s="7"/>
      <c r="AC51" s="7"/>
      <c r="AD51" s="5"/>
      <c r="AE51" s="7"/>
      <c r="AF51" s="6" t="s">
        <v>55</v>
      </c>
      <c r="AG51" s="5" t="s">
        <v>622</v>
      </c>
      <c r="AH51" s="5">
        <f t="shared" si="12"/>
        <v>1</v>
      </c>
      <c r="AI51" s="5" t="str">
        <f t="shared" si="13"/>
        <v>-</v>
      </c>
      <c r="AJ51" s="5" t="str">
        <f t="shared" si="14"/>
        <v>-</v>
      </c>
    </row>
    <row r="52" spans="1:36" x14ac:dyDescent="0.25">
      <c r="A52" s="5">
        <v>51</v>
      </c>
      <c r="B52" s="130">
        <v>9434</v>
      </c>
      <c r="C52" s="14">
        <v>45510</v>
      </c>
      <c r="D52" s="5" t="str">
        <f t="shared" si="19"/>
        <v>Aug</v>
      </c>
      <c r="E52" s="8" t="s">
        <v>13</v>
      </c>
      <c r="F52" s="13" t="s">
        <v>582</v>
      </c>
      <c r="G52" s="12">
        <v>3190</v>
      </c>
      <c r="H52" s="11" t="str">
        <f>IF(G52="","",VLOOKUP(G52,'MASTER DATA'!C:D,2,FALSE ))</f>
        <v>Rishi Kumar Sisodiya</v>
      </c>
      <c r="I52" s="10" t="str">
        <f>IF(G52="","",VLOOKUP(G52,'MASTER DATA'!C:F,4,FALSE ))</f>
        <v>Ankur Khole</v>
      </c>
      <c r="J52" s="10">
        <f>IF(G52="","",VLOOKUP(G52,'MASTER DATA'!C:J,8,FALSE))</f>
        <v>3052</v>
      </c>
      <c r="K52" s="10" t="str">
        <f>IF(I52="","",VLOOKUP(I52,'MASTER DATA'!F:G,2,FALSE ))</f>
        <v>Ankur Khole</v>
      </c>
      <c r="L52" s="10">
        <f>IF(K52="","",VLOOKUP(K52,'MASTER DATA'!G:K,5,FALSE))</f>
        <v>3052</v>
      </c>
      <c r="M52" s="10" t="str">
        <f>IF(G52="","",VLOOKUP(G52,'MASTER DATA'!C:L,10,0))</f>
        <v>Ranjan Somani</v>
      </c>
      <c r="N52" s="5" t="str">
        <f>VLOOKUP(G52,'MASTER DATA'!C:I,7,0)</f>
        <v>Manoj Chauhan</v>
      </c>
      <c r="O52" s="5" t="s">
        <v>32</v>
      </c>
      <c r="P52" s="5" t="str">
        <f t="shared" si="17"/>
        <v>Done</v>
      </c>
      <c r="Q52" s="7">
        <v>45512</v>
      </c>
      <c r="R52" s="9"/>
      <c r="S52" s="8" t="s">
        <v>7</v>
      </c>
      <c r="T52" s="8">
        <v>600000</v>
      </c>
      <c r="U52" s="7"/>
      <c r="V52" s="5"/>
      <c r="W52" s="7"/>
      <c r="X52" s="5" t="str">
        <f t="shared" si="18"/>
        <v/>
      </c>
      <c r="Y52" s="7"/>
      <c r="Z52" s="7"/>
      <c r="AA52" s="5" t="str">
        <f t="shared" si="15"/>
        <v/>
      </c>
      <c r="AB52" s="7"/>
      <c r="AC52" s="7"/>
      <c r="AD52" s="5"/>
      <c r="AE52" s="7"/>
      <c r="AF52" s="6"/>
      <c r="AG52" s="5"/>
      <c r="AH52" s="5">
        <f t="shared" si="12"/>
        <v>2</v>
      </c>
      <c r="AI52" s="5" t="str">
        <f t="shared" si="13"/>
        <v>-</v>
      </c>
      <c r="AJ52" s="5" t="str">
        <f t="shared" si="14"/>
        <v>-</v>
      </c>
    </row>
    <row r="53" spans="1:36" x14ac:dyDescent="0.25">
      <c r="A53" s="5">
        <v>52</v>
      </c>
      <c r="B53" s="130">
        <v>9579</v>
      </c>
      <c r="C53" s="14">
        <v>45510</v>
      </c>
      <c r="D53" s="5" t="str">
        <f t="shared" si="19"/>
        <v>Aug</v>
      </c>
      <c r="E53" s="8" t="s">
        <v>4</v>
      </c>
      <c r="F53" s="13" t="s">
        <v>583</v>
      </c>
      <c r="G53" s="12">
        <v>1394</v>
      </c>
      <c r="H53" s="11" t="str">
        <f>IF(G53="","",VLOOKUP(G53,'MASTER DATA'!C:D,2,FALSE ))</f>
        <v>Vikram Singh Shekhawat</v>
      </c>
      <c r="I53" s="10" t="str">
        <f>IF(G53="","",VLOOKUP(G53,'MASTER DATA'!C:F,4,FALSE ))</f>
        <v>Deepak Vajpayee</v>
      </c>
      <c r="J53" s="10">
        <f>IF(G53="","",VLOOKUP(G53,'MASTER DATA'!C:J,8,FALSE))</f>
        <v>1358</v>
      </c>
      <c r="K53" s="10" t="str">
        <f>IF(I53="","",VLOOKUP(I53,'MASTER DATA'!F:G,2,FALSE ))</f>
        <v>Vijay Yadav</v>
      </c>
      <c r="L53" s="10">
        <f>IF(K53="","",VLOOKUP(K53,'MASTER DATA'!G:K,5,FALSE))</f>
        <v>1463</v>
      </c>
      <c r="M53" s="10" t="str">
        <f>IF(G53="","",VLOOKUP(G53,'MASTER DATA'!C:L,10,0))</f>
        <v>Mayur Luhadia</v>
      </c>
      <c r="N53" s="5" t="str">
        <f>VLOOKUP(G53,'MASTER DATA'!C:I,7,0)</f>
        <v>Ajay Gupta</v>
      </c>
      <c r="O53" s="5" t="s">
        <v>80</v>
      </c>
      <c r="P53" s="5" t="str">
        <f t="shared" si="17"/>
        <v>Done</v>
      </c>
      <c r="Q53" s="7">
        <v>45512</v>
      </c>
      <c r="R53" s="9"/>
      <c r="S53" s="8" t="s">
        <v>45</v>
      </c>
      <c r="T53" s="8">
        <v>900000</v>
      </c>
      <c r="U53" s="7"/>
      <c r="V53" s="5"/>
      <c r="W53" s="7"/>
      <c r="X53" s="5" t="str">
        <f t="shared" si="18"/>
        <v/>
      </c>
      <c r="Y53" s="7"/>
      <c r="Z53" s="7"/>
      <c r="AA53" s="5" t="str">
        <f t="shared" si="15"/>
        <v/>
      </c>
      <c r="AB53" s="7"/>
      <c r="AC53" s="7"/>
      <c r="AD53" s="5"/>
      <c r="AE53" s="7"/>
      <c r="AF53" s="6"/>
      <c r="AG53" s="5"/>
      <c r="AH53" s="5">
        <f t="shared" si="12"/>
        <v>2</v>
      </c>
      <c r="AI53" s="5" t="str">
        <f t="shared" si="13"/>
        <v>-</v>
      </c>
      <c r="AJ53" s="5" t="str">
        <f t="shared" si="14"/>
        <v>-</v>
      </c>
    </row>
    <row r="54" spans="1:36" x14ac:dyDescent="0.25">
      <c r="A54" s="5">
        <v>53</v>
      </c>
      <c r="B54" s="130">
        <v>9719</v>
      </c>
      <c r="C54" s="14">
        <v>45510</v>
      </c>
      <c r="D54" s="5" t="str">
        <f t="shared" si="19"/>
        <v>Aug</v>
      </c>
      <c r="E54" s="8" t="s">
        <v>20</v>
      </c>
      <c r="F54" s="13" t="s">
        <v>584</v>
      </c>
      <c r="G54" s="12">
        <v>3196</v>
      </c>
      <c r="H54" s="11" t="str">
        <f>IF(G54="","",VLOOKUP(G54,'MASTER DATA'!C:D,2,FALSE ))</f>
        <v>Krishan Kumar Choudhary</v>
      </c>
      <c r="I54" s="10" t="str">
        <f>IF(G54="","",VLOOKUP(G54,'MASTER DATA'!C:F,4,FALSE ))</f>
        <v>Rahul Choudhary</v>
      </c>
      <c r="J54" s="10">
        <f>IF(G54="","",VLOOKUP(G54,'MASTER DATA'!C:J,8,FALSE))</f>
        <v>3183</v>
      </c>
      <c r="K54" s="10" t="str">
        <f>IF(I54="","",VLOOKUP(I54,'MASTER DATA'!F:G,2,FALSE ))</f>
        <v>Kamlesh Sharma</v>
      </c>
      <c r="L54" s="10">
        <f>IF(K54="","",VLOOKUP(K54,'MASTER DATA'!G:K,5,FALSE))</f>
        <v>1140</v>
      </c>
      <c r="M54" s="10" t="str">
        <f>IF(G54="","",VLOOKUP(G54,'MASTER DATA'!C:L,10,0))</f>
        <v>Pawan Khandelwal</v>
      </c>
      <c r="N54" s="5" t="str">
        <f>VLOOKUP(G54,'MASTER DATA'!C:I,7,0)</f>
        <v>Sanjay Arya</v>
      </c>
      <c r="O54" s="5" t="s">
        <v>31</v>
      </c>
      <c r="P54" s="5" t="str">
        <f t="shared" si="17"/>
        <v>Done</v>
      </c>
      <c r="Q54" s="7">
        <v>45511</v>
      </c>
      <c r="R54" s="9"/>
      <c r="S54" s="8" t="s">
        <v>45</v>
      </c>
      <c r="T54" s="8">
        <v>990000</v>
      </c>
      <c r="U54" s="7"/>
      <c r="V54" s="5"/>
      <c r="W54" s="7"/>
      <c r="X54" s="5" t="str">
        <f t="shared" si="18"/>
        <v/>
      </c>
      <c r="Y54" s="7">
        <v>45511</v>
      </c>
      <c r="Z54" s="7">
        <v>45511</v>
      </c>
      <c r="AA54" s="5" t="str">
        <f t="shared" si="15"/>
        <v>Received</v>
      </c>
      <c r="AB54" s="7"/>
      <c r="AC54" s="7"/>
      <c r="AD54" s="5"/>
      <c r="AE54" s="7"/>
      <c r="AF54" s="6"/>
      <c r="AG54" s="5"/>
      <c r="AH54" s="5">
        <f t="shared" si="12"/>
        <v>1</v>
      </c>
      <c r="AI54" s="5" t="str">
        <f t="shared" si="13"/>
        <v>-</v>
      </c>
      <c r="AJ54" s="5" t="str">
        <f t="shared" si="14"/>
        <v>-</v>
      </c>
    </row>
    <row r="55" spans="1:36" x14ac:dyDescent="0.25">
      <c r="A55" s="5">
        <v>54</v>
      </c>
      <c r="B55" s="130">
        <v>9672</v>
      </c>
      <c r="C55" s="14">
        <v>45510</v>
      </c>
      <c r="D55" s="5" t="str">
        <f t="shared" si="19"/>
        <v>Aug</v>
      </c>
      <c r="E55" s="8" t="s">
        <v>481</v>
      </c>
      <c r="F55" s="13" t="s">
        <v>585</v>
      </c>
      <c r="G55" s="12">
        <v>1764</v>
      </c>
      <c r="H55" s="11" t="str">
        <f>IF(G55="","",VLOOKUP(G55,'MASTER DATA'!C:D,2,FALSE ))</f>
        <v>Birbal Ram</v>
      </c>
      <c r="I55" s="10" t="str">
        <f>IF(G55="","",VLOOKUP(G55,'MASTER DATA'!C:F,4,FALSE ))</f>
        <v>Nemichand Nain</v>
      </c>
      <c r="J55" s="10">
        <f>IF(G55="","",VLOOKUP(G55,'MASTER DATA'!C:J,8,FALSE))</f>
        <v>1762</v>
      </c>
      <c r="K55" s="10" t="str">
        <f>IF(I55="","",VLOOKUP(I55,'MASTER DATA'!F:G,2,FALSE ))</f>
        <v>Santosh Kumar</v>
      </c>
      <c r="L55" s="10">
        <f>IF(K55="","",VLOOKUP(K55,'MASTER DATA'!G:K,5,FALSE))</f>
        <v>1447</v>
      </c>
      <c r="M55" s="10" t="str">
        <f>IF(G55="","",VLOOKUP(G55,'MASTER DATA'!C:L,10,0))</f>
        <v>Mayur Luhadia</v>
      </c>
      <c r="N55" s="5" t="str">
        <f>VLOOKUP(G55,'MASTER DATA'!C:I,7,0)</f>
        <v>Sunil Bagoria</v>
      </c>
      <c r="O55" s="5" t="s">
        <v>61</v>
      </c>
      <c r="P55" s="5" t="str">
        <f t="shared" si="17"/>
        <v>Done</v>
      </c>
      <c r="Q55" s="7">
        <v>45512</v>
      </c>
      <c r="R55" s="9"/>
      <c r="S55" s="8" t="s">
        <v>27</v>
      </c>
      <c r="T55" s="8">
        <v>700000</v>
      </c>
      <c r="U55" s="7">
        <v>45512</v>
      </c>
      <c r="V55" s="5"/>
      <c r="W55" s="7"/>
      <c r="X55" s="5" t="str">
        <f t="shared" si="18"/>
        <v/>
      </c>
      <c r="Y55" s="7"/>
      <c r="Z55" s="7"/>
      <c r="AA55" s="5" t="str">
        <f t="shared" si="15"/>
        <v/>
      </c>
      <c r="AB55" s="7"/>
      <c r="AC55" s="7"/>
      <c r="AD55" s="5"/>
      <c r="AE55" s="7"/>
      <c r="AF55" s="6" t="s">
        <v>596</v>
      </c>
      <c r="AG55" s="5" t="s">
        <v>659</v>
      </c>
      <c r="AH55" s="5">
        <f t="shared" si="12"/>
        <v>2</v>
      </c>
      <c r="AI55" s="5" t="str">
        <f t="shared" si="13"/>
        <v>-</v>
      </c>
      <c r="AJ55" s="5" t="str">
        <f t="shared" si="14"/>
        <v>-</v>
      </c>
    </row>
    <row r="56" spans="1:36" x14ac:dyDescent="0.25">
      <c r="A56" s="5">
        <v>55</v>
      </c>
      <c r="B56" s="130">
        <v>9731</v>
      </c>
      <c r="C56" s="14">
        <v>45510</v>
      </c>
      <c r="D56" s="5" t="str">
        <f t="shared" si="19"/>
        <v>Aug</v>
      </c>
      <c r="E56" s="8" t="s">
        <v>60</v>
      </c>
      <c r="F56" s="13" t="s">
        <v>586</v>
      </c>
      <c r="G56" s="12">
        <v>3484</v>
      </c>
      <c r="H56" s="11" t="str">
        <f>IF(G56="","",VLOOKUP(G56,'MASTER DATA'!C:D,2,FALSE ))</f>
        <v>Rakesh Kumar Meena</v>
      </c>
      <c r="I56" s="10" t="str">
        <f>IF(G56="","",VLOOKUP(G56,'MASTER DATA'!C:F,4,FALSE ))</f>
        <v>Ajay Nayak</v>
      </c>
      <c r="J56" s="10">
        <f>IF(G56="","",VLOOKUP(G56,'MASTER DATA'!C:J,8,FALSE))</f>
        <v>1930</v>
      </c>
      <c r="K56" s="10" t="str">
        <f>IF(I56="","",VLOOKUP(I56,'MASTER DATA'!F:G,2,FALSE ))</f>
        <v>Saurabh Sharma</v>
      </c>
      <c r="L56" s="10">
        <f>IF(K56="","",VLOOKUP(K56,'MASTER DATA'!G:K,5,FALSE))</f>
        <v>1766</v>
      </c>
      <c r="M56" s="10" t="str">
        <f>IF(G56="","",VLOOKUP(G56,'MASTER DATA'!C:L,10,0))</f>
        <v>Pawan Khandelwal</v>
      </c>
      <c r="N56" s="5" t="str">
        <f>VLOOKUP(G56,'MASTER DATA'!C:I,7,0)</f>
        <v>Pradeep kumar Rohlan</v>
      </c>
      <c r="O56" s="5" t="s">
        <v>617</v>
      </c>
      <c r="P56" s="5" t="str">
        <f t="shared" si="17"/>
        <v>Done</v>
      </c>
      <c r="Q56" s="7">
        <v>45511</v>
      </c>
      <c r="R56" s="9"/>
      <c r="S56" s="8" t="s">
        <v>45</v>
      </c>
      <c r="T56" s="8">
        <v>990000</v>
      </c>
      <c r="U56" s="7"/>
      <c r="V56" s="5"/>
      <c r="W56" s="7"/>
      <c r="X56" s="5" t="str">
        <f t="shared" si="18"/>
        <v/>
      </c>
      <c r="Y56" s="7"/>
      <c r="Z56" s="7"/>
      <c r="AA56" s="5" t="str">
        <f t="shared" si="15"/>
        <v/>
      </c>
      <c r="AB56" s="7"/>
      <c r="AC56" s="7"/>
      <c r="AD56" s="5"/>
      <c r="AE56" s="7"/>
      <c r="AF56" s="6"/>
      <c r="AG56" s="5"/>
      <c r="AH56" s="5">
        <f t="shared" si="12"/>
        <v>1</v>
      </c>
      <c r="AI56" s="5" t="str">
        <f t="shared" si="13"/>
        <v>-</v>
      </c>
      <c r="AJ56" s="5" t="str">
        <f t="shared" si="14"/>
        <v>-</v>
      </c>
    </row>
    <row r="57" spans="1:36" x14ac:dyDescent="0.25">
      <c r="A57" s="5">
        <v>56</v>
      </c>
      <c r="B57" s="130">
        <v>9634</v>
      </c>
      <c r="C57" s="14">
        <v>45510</v>
      </c>
      <c r="D57" s="5" t="str">
        <f t="shared" si="19"/>
        <v>Aug</v>
      </c>
      <c r="E57" s="8" t="s">
        <v>30</v>
      </c>
      <c r="F57" s="13" t="s">
        <v>587</v>
      </c>
      <c r="G57" s="12">
        <v>3274</v>
      </c>
      <c r="H57" s="11" t="str">
        <f>IF(G57="","",VLOOKUP(G57,'MASTER DATA'!C:D,2,FALSE ))</f>
        <v>Jaydeep Patel</v>
      </c>
      <c r="I57" s="10" t="str">
        <f>IF(G57="","",VLOOKUP(G57,'MASTER DATA'!C:F,4,FALSE ))</f>
        <v>Girish Jadav</v>
      </c>
      <c r="J57" s="10">
        <f>IF(G57="","",VLOOKUP(G57,'MASTER DATA'!C:J,8,FALSE))</f>
        <v>3295</v>
      </c>
      <c r="K57" s="10" t="str">
        <f>IF(I57="","",VLOOKUP(I57,'MASTER DATA'!F:G,2,FALSE ))</f>
        <v>Ankur Khole</v>
      </c>
      <c r="L57" s="10">
        <f>IF(K57="","",VLOOKUP(K57,'MASTER DATA'!G:K,5,FALSE))</f>
        <v>3052</v>
      </c>
      <c r="M57" s="10" t="str">
        <f>IF(G57="","",VLOOKUP(G57,'MASTER DATA'!C:L,10,0))</f>
        <v>Ranjan Somani</v>
      </c>
      <c r="N57" s="5" t="str">
        <f>VLOOKUP(G57,'MASTER DATA'!C:I,7,0)</f>
        <v>Manoj Chauhan</v>
      </c>
      <c r="O57" s="5" t="s">
        <v>22</v>
      </c>
      <c r="P57" s="5" t="str">
        <f t="shared" si="17"/>
        <v>Done</v>
      </c>
      <c r="Q57" s="7">
        <v>45512</v>
      </c>
      <c r="R57" s="9"/>
      <c r="S57" s="8" t="s">
        <v>7</v>
      </c>
      <c r="T57" s="8">
        <v>500000</v>
      </c>
      <c r="U57" s="7"/>
      <c r="V57" s="5"/>
      <c r="W57" s="7"/>
      <c r="X57" s="5" t="str">
        <f t="shared" si="18"/>
        <v/>
      </c>
      <c r="Y57" s="7"/>
      <c r="Z57" s="7"/>
      <c r="AA57" s="5" t="str">
        <f t="shared" si="15"/>
        <v/>
      </c>
      <c r="AB57" s="7"/>
      <c r="AC57" s="7"/>
      <c r="AD57" s="5"/>
      <c r="AE57" s="7"/>
      <c r="AF57" s="6"/>
      <c r="AG57" s="5"/>
      <c r="AH57" s="5">
        <f t="shared" si="12"/>
        <v>2</v>
      </c>
      <c r="AI57" s="5" t="str">
        <f t="shared" si="13"/>
        <v>-</v>
      </c>
      <c r="AJ57" s="5" t="str">
        <f t="shared" si="14"/>
        <v>-</v>
      </c>
    </row>
    <row r="58" spans="1:36" x14ac:dyDescent="0.25">
      <c r="A58" s="5">
        <v>57</v>
      </c>
      <c r="B58" s="130">
        <v>9737</v>
      </c>
      <c r="C58" s="14">
        <v>45510</v>
      </c>
      <c r="D58" s="5" t="str">
        <f t="shared" si="19"/>
        <v>Aug</v>
      </c>
      <c r="E58" s="8" t="s">
        <v>25</v>
      </c>
      <c r="F58" s="13" t="s">
        <v>588</v>
      </c>
      <c r="G58" s="12">
        <v>3452</v>
      </c>
      <c r="H58" s="11" t="str">
        <f>IF(G58="","",VLOOKUP(G58,'MASTER DATA'!C:D,2,FALSE ))</f>
        <v>Chander Bhan</v>
      </c>
      <c r="I58" s="10" t="str">
        <f>IF(G58="","",VLOOKUP(G58,'MASTER DATA'!C:F,4,FALSE ))</f>
        <v>Bhagirath</v>
      </c>
      <c r="J58" s="10">
        <f>IF(G58="","",VLOOKUP(G58,'MASTER DATA'!C:J,8,FALSE))</f>
        <v>3145</v>
      </c>
      <c r="K58" s="10" t="str">
        <f>IF(I58="","",VLOOKUP(I58,'MASTER DATA'!F:G,2,FALSE ))</f>
        <v>Gurdeep Singh</v>
      </c>
      <c r="L58" s="10">
        <f>IF(K58="","",VLOOKUP(K58,'MASTER DATA'!G:K,5,FALSE))</f>
        <v>3256</v>
      </c>
      <c r="M58" s="10" t="str">
        <f>IF(G58="","",VLOOKUP(G58,'MASTER DATA'!C:L,10,0))</f>
        <v>Mayur Luhadia</v>
      </c>
      <c r="N58" s="5" t="str">
        <f>VLOOKUP(G58,'MASTER DATA'!C:I,7,0)</f>
        <v>Mohan Shankar Sharma</v>
      </c>
      <c r="O58" s="5" t="s">
        <v>39</v>
      </c>
      <c r="P58" s="5" t="str">
        <f t="shared" si="17"/>
        <v>Done</v>
      </c>
      <c r="Q58" s="7">
        <v>45512</v>
      </c>
      <c r="R58" s="9"/>
      <c r="S58" s="8" t="s">
        <v>7</v>
      </c>
      <c r="T58" s="8">
        <v>600000</v>
      </c>
      <c r="U58" s="7"/>
      <c r="V58" s="5"/>
      <c r="W58" s="7"/>
      <c r="X58" s="5" t="str">
        <f t="shared" si="18"/>
        <v/>
      </c>
      <c r="Y58" s="7"/>
      <c r="Z58" s="7"/>
      <c r="AA58" s="5" t="str">
        <f t="shared" si="15"/>
        <v/>
      </c>
      <c r="AB58" s="7"/>
      <c r="AC58" s="7"/>
      <c r="AD58" s="5"/>
      <c r="AE58" s="7"/>
      <c r="AF58" s="6"/>
      <c r="AG58" s="5"/>
      <c r="AH58" s="5">
        <f t="shared" si="12"/>
        <v>2</v>
      </c>
      <c r="AI58" s="5" t="str">
        <f t="shared" si="13"/>
        <v>-</v>
      </c>
      <c r="AJ58" s="5" t="str">
        <f t="shared" si="14"/>
        <v>-</v>
      </c>
    </row>
    <row r="59" spans="1:36" x14ac:dyDescent="0.25">
      <c r="A59" s="5">
        <v>58</v>
      </c>
      <c r="B59" s="130">
        <v>9521</v>
      </c>
      <c r="C59" s="14">
        <v>45510</v>
      </c>
      <c r="D59" s="5" t="str">
        <f t="shared" si="19"/>
        <v>Aug</v>
      </c>
      <c r="E59" s="8" t="s">
        <v>76</v>
      </c>
      <c r="F59" s="13" t="s">
        <v>589</v>
      </c>
      <c r="G59" s="12">
        <v>3111</v>
      </c>
      <c r="H59" s="11" t="str">
        <f>IF(G59="","",VLOOKUP(G59,'MASTER DATA'!C:D,2,FALSE ))</f>
        <v>Mukesh Saini</v>
      </c>
      <c r="I59" s="10" t="str">
        <f>IF(G59="","",VLOOKUP(G59,'MASTER DATA'!C:F,4,FALSE ))</f>
        <v>TBI (Bassi)</v>
      </c>
      <c r="J59" s="10" t="str">
        <f>IF(G59="","",VLOOKUP(G59,'MASTER DATA'!C:J,8,FALSE))</f>
        <v>TBI (Bassi)</v>
      </c>
      <c r="K59" s="10" t="str">
        <f>IF(I59="","",VLOOKUP(I59,'MASTER DATA'!F:G,2,FALSE ))</f>
        <v>Saurabh Sharma</v>
      </c>
      <c r="L59" s="10">
        <f>IF(K59="","",VLOOKUP(K59,'MASTER DATA'!G:K,5,FALSE))</f>
        <v>1766</v>
      </c>
      <c r="M59" s="10" t="str">
        <f>IF(G59="","",VLOOKUP(G59,'MASTER DATA'!C:L,10,0))</f>
        <v>Pawan Khandelwal</v>
      </c>
      <c r="N59" s="5" t="str">
        <f>VLOOKUP(G59,'MASTER DATA'!C:I,7,0)</f>
        <v>Pradeep kumar Rohlan</v>
      </c>
      <c r="O59" s="5" t="s">
        <v>559</v>
      </c>
      <c r="P59" s="5" t="str">
        <f t="shared" si="17"/>
        <v>Done</v>
      </c>
      <c r="Q59" s="7">
        <v>45512</v>
      </c>
      <c r="R59" s="9"/>
      <c r="S59" s="8" t="s">
        <v>7</v>
      </c>
      <c r="T59" s="8">
        <v>950000</v>
      </c>
      <c r="U59" s="7"/>
      <c r="V59" s="5"/>
      <c r="W59" s="7"/>
      <c r="X59" s="5" t="str">
        <f t="shared" si="18"/>
        <v/>
      </c>
      <c r="Y59" s="7"/>
      <c r="Z59" s="7"/>
      <c r="AA59" s="5" t="str">
        <f t="shared" si="15"/>
        <v/>
      </c>
      <c r="AB59" s="7"/>
      <c r="AC59" s="7"/>
      <c r="AD59" s="5"/>
      <c r="AE59" s="7"/>
      <c r="AF59" s="6"/>
      <c r="AG59" s="5"/>
      <c r="AH59" s="5">
        <f t="shared" si="12"/>
        <v>2</v>
      </c>
      <c r="AI59" s="5" t="str">
        <f t="shared" si="13"/>
        <v>-</v>
      </c>
      <c r="AJ59" s="5" t="str">
        <f t="shared" si="14"/>
        <v>-</v>
      </c>
    </row>
    <row r="60" spans="1:36" x14ac:dyDescent="0.25">
      <c r="A60" s="5">
        <v>59</v>
      </c>
      <c r="B60" s="130">
        <v>9598</v>
      </c>
      <c r="C60" s="14">
        <v>45510</v>
      </c>
      <c r="D60" s="5" t="str">
        <f t="shared" si="19"/>
        <v>Aug</v>
      </c>
      <c r="E60" s="8" t="s">
        <v>57</v>
      </c>
      <c r="F60" s="13" t="s">
        <v>590</v>
      </c>
      <c r="G60" s="12">
        <v>3471</v>
      </c>
      <c r="H60" s="11" t="str">
        <f>IF(G60="","",VLOOKUP(G60,'MASTER DATA'!C:D,2,FALSE ))</f>
        <v>Ravi Kumar</v>
      </c>
      <c r="I60" s="10" t="str">
        <f>IF(G60="","",VLOOKUP(G60,'MASTER DATA'!C:F,4,FALSE ))</f>
        <v>Babu Lal</v>
      </c>
      <c r="J60" s="10">
        <f>IF(G60="","",VLOOKUP(G60,'MASTER DATA'!C:J,8,FALSE))</f>
        <v>1983</v>
      </c>
      <c r="K60" s="10" t="str">
        <f>IF(I60="","",VLOOKUP(I60,'MASTER DATA'!F:G,2,FALSE ))</f>
        <v>Santosh Kumar</v>
      </c>
      <c r="L60" s="10">
        <f>IF(K60="","",VLOOKUP(K60,'MASTER DATA'!G:K,5,FALSE))</f>
        <v>1447</v>
      </c>
      <c r="M60" s="10" t="str">
        <f>IF(G60="","",VLOOKUP(G60,'MASTER DATA'!C:L,10,0))</f>
        <v>Mayur Luhadia</v>
      </c>
      <c r="N60" s="5" t="str">
        <f>VLOOKUP(G60,'MASTER DATA'!C:I,7,0)</f>
        <v>Sunil Bagoria</v>
      </c>
      <c r="O60" s="5" t="s">
        <v>599</v>
      </c>
      <c r="P60" s="5" t="str">
        <f t="shared" si="17"/>
        <v>Done</v>
      </c>
      <c r="Q60" s="7">
        <v>45511</v>
      </c>
      <c r="R60" s="9" t="s">
        <v>603</v>
      </c>
      <c r="S60" s="8" t="s">
        <v>21</v>
      </c>
      <c r="T60" s="8">
        <v>700000</v>
      </c>
      <c r="U60" s="7"/>
      <c r="V60" s="5"/>
      <c r="W60" s="7"/>
      <c r="X60" s="5" t="str">
        <f t="shared" si="18"/>
        <v/>
      </c>
      <c r="Y60" s="7"/>
      <c r="Z60" s="7"/>
      <c r="AA60" s="5" t="str">
        <f t="shared" si="15"/>
        <v/>
      </c>
      <c r="AB60" s="7"/>
      <c r="AC60" s="7"/>
      <c r="AD60" s="5"/>
      <c r="AE60" s="7"/>
      <c r="AF60" s="6"/>
      <c r="AG60" s="5"/>
      <c r="AH60" s="5">
        <f t="shared" si="12"/>
        <v>1</v>
      </c>
      <c r="AI60" s="5" t="str">
        <f t="shared" si="13"/>
        <v>-</v>
      </c>
      <c r="AJ60" s="5" t="str">
        <f t="shared" si="14"/>
        <v>-</v>
      </c>
    </row>
    <row r="61" spans="1:36" x14ac:dyDescent="0.25">
      <c r="A61" s="5">
        <v>60</v>
      </c>
      <c r="B61" s="130">
        <v>9612</v>
      </c>
      <c r="C61" s="14">
        <v>45510</v>
      </c>
      <c r="D61" s="5" t="str">
        <f t="shared" si="19"/>
        <v>Aug</v>
      </c>
      <c r="E61" s="8" t="s">
        <v>60</v>
      </c>
      <c r="F61" s="13" t="s">
        <v>591</v>
      </c>
      <c r="G61" s="12">
        <v>3076</v>
      </c>
      <c r="H61" s="11" t="str">
        <f>IF(G61="","",VLOOKUP(G61,'MASTER DATA'!C:D,2,FALSE ))</f>
        <v>Saligram Gurjar</v>
      </c>
      <c r="I61" s="10" t="str">
        <f>IF(G61="","",VLOOKUP(G61,'MASTER DATA'!C:F,4,FALSE ))</f>
        <v>Sanjay Singh Shekhawat</v>
      </c>
      <c r="J61" s="10">
        <f>IF(G61="","",VLOOKUP(G61,'MASTER DATA'!C:J,8,FALSE))</f>
        <v>3072</v>
      </c>
      <c r="K61" s="10" t="str">
        <f>IF(I61="","",VLOOKUP(I61,'MASTER DATA'!F:G,2,FALSE ))</f>
        <v>Saurabh Sharma</v>
      </c>
      <c r="L61" s="10">
        <f>IF(K61="","",VLOOKUP(K61,'MASTER DATA'!G:K,5,FALSE))</f>
        <v>1766</v>
      </c>
      <c r="M61" s="10" t="str">
        <f>IF(G61="","",VLOOKUP(G61,'MASTER DATA'!C:L,10,0))</f>
        <v>Pawan Khandelwal</v>
      </c>
      <c r="N61" s="5" t="str">
        <f>VLOOKUP(G61,'MASTER DATA'!C:I,7,0)</f>
        <v>Pradeep kumar Rohlan</v>
      </c>
      <c r="O61" s="5" t="s">
        <v>616</v>
      </c>
      <c r="P61" s="5" t="str">
        <f t="shared" si="17"/>
        <v>Done</v>
      </c>
      <c r="Q61" s="7">
        <v>45511</v>
      </c>
      <c r="R61" s="9" t="s">
        <v>624</v>
      </c>
      <c r="S61" s="8" t="s">
        <v>21</v>
      </c>
      <c r="T61" s="8">
        <v>900000</v>
      </c>
      <c r="U61" s="7"/>
      <c r="V61" s="5"/>
      <c r="W61" s="7"/>
      <c r="X61" s="5" t="str">
        <f t="shared" si="18"/>
        <v/>
      </c>
      <c r="Y61" s="7"/>
      <c r="Z61" s="7"/>
      <c r="AA61" s="5" t="str">
        <f t="shared" si="15"/>
        <v/>
      </c>
      <c r="AB61" s="7"/>
      <c r="AC61" s="7"/>
      <c r="AD61" s="5"/>
      <c r="AE61" s="7"/>
      <c r="AF61" s="6"/>
      <c r="AG61" s="5"/>
      <c r="AH61" s="5">
        <f t="shared" si="12"/>
        <v>1</v>
      </c>
      <c r="AI61" s="5" t="str">
        <f t="shared" si="13"/>
        <v>-</v>
      </c>
      <c r="AJ61" s="5" t="str">
        <f t="shared" si="14"/>
        <v>-</v>
      </c>
    </row>
    <row r="62" spans="1:36" x14ac:dyDescent="0.25">
      <c r="A62" s="5">
        <v>61</v>
      </c>
      <c r="B62" s="130">
        <v>9668</v>
      </c>
      <c r="C62" s="14">
        <v>45511</v>
      </c>
      <c r="D62" s="5" t="str">
        <f t="shared" si="19"/>
        <v>Aug</v>
      </c>
      <c r="E62" s="8" t="s">
        <v>18</v>
      </c>
      <c r="F62" s="13" t="s">
        <v>605</v>
      </c>
      <c r="G62" s="12">
        <v>2007</v>
      </c>
      <c r="H62" s="11" t="str">
        <f>IF(G62="","",VLOOKUP(G62,'MASTER DATA'!C:D,2,FALSE ))</f>
        <v>Mukesh Kumar Chouhan</v>
      </c>
      <c r="I62" s="10" t="str">
        <f>IF(G62="","",VLOOKUP(G62,'MASTER DATA'!C:F,4,FALSE ))</f>
        <v>Devendra Chouhan</v>
      </c>
      <c r="J62" s="10">
        <f>IF(G62="","",VLOOKUP(G62,'MASTER DATA'!C:J,8,FALSE))</f>
        <v>2002</v>
      </c>
      <c r="K62" s="10" t="str">
        <f>IF(I62="","",VLOOKUP(I62,'MASTER DATA'!F:G,2,FALSE ))</f>
        <v>TBI (Ratlam)</v>
      </c>
      <c r="L62" s="10" t="str">
        <f>IF(K62="","",VLOOKUP(K62,'MASTER DATA'!G:K,5,FALSE))</f>
        <v>TBI (Ratlam)</v>
      </c>
      <c r="M62" s="10" t="str">
        <f>IF(G62="","",VLOOKUP(G62,'MASTER DATA'!C:L,10,0))</f>
        <v>Ranjan Somani</v>
      </c>
      <c r="N62" s="5" t="str">
        <f>VLOOKUP(G62,'MASTER DATA'!C:I,7,0)</f>
        <v>Manoj Chauhan</v>
      </c>
      <c r="O62" s="5" t="s">
        <v>52</v>
      </c>
      <c r="P62" s="5" t="str">
        <f t="shared" ref="P62:P73" si="20">IF(O62="","","Done")</f>
        <v>Done</v>
      </c>
      <c r="Q62" s="7">
        <v>45511</v>
      </c>
      <c r="R62" s="9"/>
      <c r="S62" s="8" t="s">
        <v>51</v>
      </c>
      <c r="T62" s="8">
        <v>500000</v>
      </c>
      <c r="U62" s="7">
        <v>45512</v>
      </c>
      <c r="V62" s="5">
        <v>400000</v>
      </c>
      <c r="W62" s="7">
        <v>45512</v>
      </c>
      <c r="X62" s="5" t="str">
        <f t="shared" ref="X62:X73" si="21">IF(W62="","",TEXT(W62,"mmm"))</f>
        <v>Aug</v>
      </c>
      <c r="Y62" s="7"/>
      <c r="Z62" s="7"/>
      <c r="AA62" s="5" t="str">
        <f t="shared" si="15"/>
        <v/>
      </c>
      <c r="AB62" s="7"/>
      <c r="AC62" s="7"/>
      <c r="AD62" s="5"/>
      <c r="AE62" s="7"/>
      <c r="AF62" s="6"/>
      <c r="AG62" s="5"/>
      <c r="AH62" s="5">
        <f t="shared" si="12"/>
        <v>0</v>
      </c>
      <c r="AI62" s="5">
        <f t="shared" si="13"/>
        <v>1</v>
      </c>
      <c r="AJ62" s="5" t="str">
        <f t="shared" si="14"/>
        <v>-</v>
      </c>
    </row>
    <row r="63" spans="1:36" x14ac:dyDescent="0.25">
      <c r="A63" s="5">
        <v>62</v>
      </c>
      <c r="B63" s="130">
        <v>9688</v>
      </c>
      <c r="C63" s="14">
        <v>45511</v>
      </c>
      <c r="D63" s="5" t="str">
        <f t="shared" ref="D63:D73" si="22">IF(C63="","",TEXT(C63,"mmm"))</f>
        <v>Aug</v>
      </c>
      <c r="E63" s="8" t="s">
        <v>4</v>
      </c>
      <c r="F63" s="13" t="s">
        <v>363</v>
      </c>
      <c r="G63" s="12">
        <v>3401</v>
      </c>
      <c r="H63" s="11" t="str">
        <f>IF(G63="","",VLOOKUP(G63,'MASTER DATA'!C:D,2,FALSE ))</f>
        <v>Ajay Singh Shekhawat</v>
      </c>
      <c r="I63" s="10" t="str">
        <f>IF(G63="","",VLOOKUP(G63,'MASTER DATA'!C:F,4,FALSE ))</f>
        <v>Deepak Vajpayee</v>
      </c>
      <c r="J63" s="10">
        <f>IF(G63="","",VLOOKUP(G63,'MASTER DATA'!C:J,8,FALSE))</f>
        <v>1358</v>
      </c>
      <c r="K63" s="10" t="str">
        <f>IF(I63="","",VLOOKUP(I63,'MASTER DATA'!F:G,2,FALSE ))</f>
        <v>Vijay Yadav</v>
      </c>
      <c r="L63" s="10">
        <f>IF(K63="","",VLOOKUP(K63,'MASTER DATA'!G:K,5,FALSE))</f>
        <v>1463</v>
      </c>
      <c r="M63" s="10" t="str">
        <f>IF(G63="","",VLOOKUP(G63,'MASTER DATA'!C:L,10,0))</f>
        <v>Mayur Luhadia</v>
      </c>
      <c r="N63" s="5" t="str">
        <f>VLOOKUP(G63,'MASTER DATA'!C:I,7,0)</f>
        <v>Ajay Gupta</v>
      </c>
      <c r="O63" s="5"/>
      <c r="P63" s="5" t="str">
        <f t="shared" si="20"/>
        <v/>
      </c>
      <c r="Q63" s="7"/>
      <c r="R63" s="9"/>
      <c r="S63" s="8" t="s">
        <v>0</v>
      </c>
      <c r="T63" s="8">
        <v>900000</v>
      </c>
      <c r="U63" s="7"/>
      <c r="V63" s="5"/>
      <c r="W63" s="7"/>
      <c r="X63" s="5" t="str">
        <f t="shared" si="21"/>
        <v/>
      </c>
      <c r="Y63" s="7"/>
      <c r="Z63" s="7"/>
      <c r="AA63" s="5" t="str">
        <f t="shared" si="15"/>
        <v/>
      </c>
      <c r="AB63" s="7"/>
      <c r="AC63" s="7"/>
      <c r="AD63" s="5"/>
      <c r="AE63" s="7"/>
      <c r="AF63" s="6"/>
      <c r="AG63" s="5"/>
      <c r="AH63" s="5" t="str">
        <f t="shared" si="12"/>
        <v>-</v>
      </c>
      <c r="AI63" s="5" t="str">
        <f t="shared" si="13"/>
        <v>-</v>
      </c>
      <c r="AJ63" s="5" t="str">
        <f t="shared" si="14"/>
        <v>-</v>
      </c>
    </row>
    <row r="64" spans="1:36" x14ac:dyDescent="0.25">
      <c r="A64" s="5">
        <v>63</v>
      </c>
      <c r="B64" s="130">
        <v>9671</v>
      </c>
      <c r="C64" s="14">
        <v>45511</v>
      </c>
      <c r="D64" s="5" t="str">
        <f t="shared" si="22"/>
        <v>Aug</v>
      </c>
      <c r="E64" s="8" t="s">
        <v>30</v>
      </c>
      <c r="F64" s="13" t="s">
        <v>606</v>
      </c>
      <c r="G64" s="12">
        <v>3272</v>
      </c>
      <c r="H64" s="11" t="str">
        <f>IF(G64="","",VLOOKUP(G64,'MASTER DATA'!C:D,2,FALSE ))</f>
        <v>Lokendra Chouhan</v>
      </c>
      <c r="I64" s="10" t="str">
        <f>IF(G64="","",VLOOKUP(G64,'MASTER DATA'!C:F,4,FALSE ))</f>
        <v>Girish Jadav</v>
      </c>
      <c r="J64" s="10">
        <f>IF(G64="","",VLOOKUP(G64,'MASTER DATA'!C:J,8,FALSE))</f>
        <v>3295</v>
      </c>
      <c r="K64" s="10" t="str">
        <f>IF(I64="","",VLOOKUP(I64,'MASTER DATA'!F:G,2,FALSE ))</f>
        <v>Ankur Khole</v>
      </c>
      <c r="L64" s="10">
        <f>IF(K64="","",VLOOKUP(K64,'MASTER DATA'!G:K,5,FALSE))</f>
        <v>3052</v>
      </c>
      <c r="M64" s="10" t="str">
        <f>IF(G64="","",VLOOKUP(G64,'MASTER DATA'!C:L,10,0))</f>
        <v>Ranjan Somani</v>
      </c>
      <c r="N64" s="5" t="str">
        <f>VLOOKUP(G64,'MASTER DATA'!C:I,7,0)</f>
        <v>Manoj Chauhan</v>
      </c>
      <c r="O64" s="5" t="s">
        <v>22</v>
      </c>
      <c r="P64" s="5" t="str">
        <f t="shared" si="20"/>
        <v>Done</v>
      </c>
      <c r="Q64" s="7">
        <v>45512</v>
      </c>
      <c r="R64" s="9"/>
      <c r="S64" s="8" t="s">
        <v>7</v>
      </c>
      <c r="T64" s="8">
        <v>900000</v>
      </c>
      <c r="U64" s="7"/>
      <c r="V64" s="5"/>
      <c r="W64" s="7"/>
      <c r="X64" s="5" t="str">
        <f t="shared" si="21"/>
        <v/>
      </c>
      <c r="Y64" s="7"/>
      <c r="Z64" s="7"/>
      <c r="AA64" s="5" t="str">
        <f t="shared" si="15"/>
        <v/>
      </c>
      <c r="AB64" s="7"/>
      <c r="AC64" s="7"/>
      <c r="AD64" s="5"/>
      <c r="AE64" s="7"/>
      <c r="AF64" s="6"/>
      <c r="AG64" s="5"/>
      <c r="AH64" s="5">
        <f t="shared" si="12"/>
        <v>1</v>
      </c>
      <c r="AI64" s="5" t="str">
        <f t="shared" si="13"/>
        <v>-</v>
      </c>
      <c r="AJ64" s="5" t="str">
        <f t="shared" si="14"/>
        <v>-</v>
      </c>
    </row>
    <row r="65" spans="1:36" x14ac:dyDescent="0.25">
      <c r="A65" s="5">
        <v>64</v>
      </c>
      <c r="B65" s="130">
        <v>9702</v>
      </c>
      <c r="C65" s="14">
        <v>45511</v>
      </c>
      <c r="D65" s="5" t="str">
        <f t="shared" si="22"/>
        <v>Aug</v>
      </c>
      <c r="E65" s="8" t="s">
        <v>485</v>
      </c>
      <c r="F65" s="13" t="s">
        <v>607</v>
      </c>
      <c r="G65" s="12">
        <v>3450</v>
      </c>
      <c r="H65" s="11" t="str">
        <f>IF(G65="","",VLOOKUP(G65,'MASTER DATA'!C:D,2,FALSE ))</f>
        <v>Surendra Pawar</v>
      </c>
      <c r="I65" s="10" t="str">
        <f>IF(G65="","",VLOOKUP(G65,'MASTER DATA'!C:F,4,FALSE ))</f>
        <v>Pawan Yadav</v>
      </c>
      <c r="J65" s="10">
        <f>IF(G65="","",VLOOKUP(G65,'MASTER DATA'!C:J,8,FALSE))</f>
        <v>3373</v>
      </c>
      <c r="K65" s="10" t="str">
        <f>IF(I65="","",VLOOKUP(I65,'MASTER DATA'!F:G,2,FALSE ))</f>
        <v>Ankur Khole</v>
      </c>
      <c r="L65" s="10">
        <f>IF(K65="","",VLOOKUP(K65,'MASTER DATA'!G:K,5,FALSE))</f>
        <v>3052</v>
      </c>
      <c r="M65" s="10" t="str">
        <f>IF(G65="","",VLOOKUP(G65,'MASTER DATA'!C:L,10,0))</f>
        <v>Ranjan Somani</v>
      </c>
      <c r="N65" s="5" t="str">
        <f>VLOOKUP(G65,'MASTER DATA'!C:I,7,0)</f>
        <v>Manoj Chauhan</v>
      </c>
      <c r="O65" s="5"/>
      <c r="P65" s="5" t="str">
        <f t="shared" si="20"/>
        <v/>
      </c>
      <c r="Q65" s="7"/>
      <c r="R65" s="9"/>
      <c r="S65" s="8" t="s">
        <v>0</v>
      </c>
      <c r="T65" s="8">
        <v>500000</v>
      </c>
      <c r="U65" s="7"/>
      <c r="V65" s="5"/>
      <c r="W65" s="7"/>
      <c r="X65" s="5" t="str">
        <f t="shared" si="21"/>
        <v/>
      </c>
      <c r="Y65" s="7"/>
      <c r="Z65" s="7"/>
      <c r="AA65" s="5" t="str">
        <f t="shared" si="15"/>
        <v/>
      </c>
      <c r="AB65" s="7"/>
      <c r="AC65" s="7"/>
      <c r="AD65" s="5"/>
      <c r="AE65" s="7"/>
      <c r="AF65" s="6"/>
      <c r="AG65" s="5"/>
      <c r="AH65" s="5" t="str">
        <f t="shared" si="12"/>
        <v>-</v>
      </c>
      <c r="AI65" s="5" t="str">
        <f t="shared" si="13"/>
        <v>-</v>
      </c>
      <c r="AJ65" s="5" t="str">
        <f t="shared" si="14"/>
        <v>-</v>
      </c>
    </row>
    <row r="66" spans="1:36" x14ac:dyDescent="0.25">
      <c r="A66" s="5">
        <v>65</v>
      </c>
      <c r="B66" s="130">
        <v>9735</v>
      </c>
      <c r="C66" s="14">
        <v>45511</v>
      </c>
      <c r="D66" s="5" t="str">
        <f t="shared" si="22"/>
        <v>Aug</v>
      </c>
      <c r="E66" s="8" t="s">
        <v>56</v>
      </c>
      <c r="F66" s="13" t="s">
        <v>608</v>
      </c>
      <c r="G66" s="12">
        <v>3388</v>
      </c>
      <c r="H66" s="11" t="str">
        <f>IF(G66="","",VLOOKUP(G66,'MASTER DATA'!C:D,2,FALSE ))</f>
        <v>Sandeep Kumar Jat</v>
      </c>
      <c r="I66" s="10" t="str">
        <f>IF(G66="","",VLOOKUP(G66,'MASTER DATA'!C:F,4,FALSE ))</f>
        <v>Sandeep Kumar Jat</v>
      </c>
      <c r="J66" s="10">
        <f>IF(G66="","",VLOOKUP(G66,'MASTER DATA'!C:J,8,FALSE))</f>
        <v>3388</v>
      </c>
      <c r="K66" s="10" t="str">
        <f>IF(I66="","",VLOOKUP(I66,'MASTER DATA'!F:G,2,FALSE ))</f>
        <v>Bharat Singh Kuntal</v>
      </c>
      <c r="L66" s="10">
        <f>IF(K66="","",VLOOKUP(K66,'MASTER DATA'!G:K,5,FALSE))</f>
        <v>1772</v>
      </c>
      <c r="M66" s="10" t="str">
        <f>IF(G66="","",VLOOKUP(G66,'MASTER DATA'!C:L,10,0))</f>
        <v>Mayur Luhadia</v>
      </c>
      <c r="N66" s="5" t="str">
        <f>VLOOKUP(G66,'MASTER DATA'!C:I,7,0)</f>
        <v>Sunil Bagoria</v>
      </c>
      <c r="O66" s="5" t="s">
        <v>58</v>
      </c>
      <c r="P66" s="5" t="str">
        <f t="shared" si="20"/>
        <v>Done</v>
      </c>
      <c r="Q66" s="7">
        <v>45512</v>
      </c>
      <c r="R66" s="9"/>
      <c r="S66" s="8" t="s">
        <v>27</v>
      </c>
      <c r="T66" s="8">
        <v>999000</v>
      </c>
      <c r="U66" s="7">
        <v>45512</v>
      </c>
      <c r="V66" s="5"/>
      <c r="W66" s="7"/>
      <c r="X66" s="5" t="str">
        <f t="shared" si="21"/>
        <v/>
      </c>
      <c r="Y66" s="7"/>
      <c r="Z66" s="7"/>
      <c r="AA66" s="5" t="str">
        <f t="shared" si="15"/>
        <v/>
      </c>
      <c r="AB66" s="7"/>
      <c r="AC66" s="7"/>
      <c r="AD66" s="5"/>
      <c r="AE66" s="7"/>
      <c r="AF66" s="6" t="s">
        <v>55</v>
      </c>
      <c r="AG66" s="5" t="s">
        <v>637</v>
      </c>
      <c r="AH66" s="5">
        <f t="shared" ref="AH66:AH94" si="23">IF(Q66="","-",Q66-C66)</f>
        <v>1</v>
      </c>
      <c r="AI66" s="5" t="str">
        <f t="shared" ref="AI66:AI94" si="24">IF(W66="","-",W66-C66)</f>
        <v>-</v>
      </c>
      <c r="AJ66" s="5" t="str">
        <f t="shared" ref="AJ66:AJ94" si="25">IF(AE66="","-",AE66-C66)</f>
        <v>-</v>
      </c>
    </row>
    <row r="67" spans="1:36" x14ac:dyDescent="0.25">
      <c r="A67" s="5">
        <v>66</v>
      </c>
      <c r="B67" s="130">
        <v>9720</v>
      </c>
      <c r="C67" s="14">
        <v>45511</v>
      </c>
      <c r="D67" s="5" t="str">
        <f t="shared" si="22"/>
        <v>Aug</v>
      </c>
      <c r="E67" s="8" t="s">
        <v>79</v>
      </c>
      <c r="F67" s="13" t="s">
        <v>609</v>
      </c>
      <c r="G67" s="12">
        <v>3329</v>
      </c>
      <c r="H67" s="11" t="str">
        <f>IF(G67="","",VLOOKUP(G67,'MASTER DATA'!C:D,2,FALSE ))</f>
        <v>Koshal Kumawat</v>
      </c>
      <c r="I67" s="10" t="str">
        <f>IF(G67="","",VLOOKUP(G67,'MASTER DATA'!C:F,4,FALSE ))</f>
        <v>Vanshraj Gurjar</v>
      </c>
      <c r="J67" s="10">
        <f>IF(G67="","",VLOOKUP(G67,'MASTER DATA'!C:J,8,FALSE))</f>
        <v>3426</v>
      </c>
      <c r="K67" s="10" t="str">
        <f>IF(I67="","",VLOOKUP(I67,'MASTER DATA'!F:G,2,FALSE ))</f>
        <v>Kamlesh Sharma</v>
      </c>
      <c r="L67" s="10">
        <f>IF(K67="","",VLOOKUP(K67,'MASTER DATA'!G:K,5,FALSE))</f>
        <v>1140</v>
      </c>
      <c r="M67" s="10" t="str">
        <f>IF(G67="","",VLOOKUP(G67,'MASTER DATA'!C:L,10,0))</f>
        <v>Pawan Khandelwal</v>
      </c>
      <c r="N67" s="5" t="str">
        <f>VLOOKUP(G67,'MASTER DATA'!C:I,7,0)</f>
        <v>Sanjay Arya</v>
      </c>
      <c r="O67" s="5" t="s">
        <v>31</v>
      </c>
      <c r="P67" s="5" t="str">
        <f t="shared" si="20"/>
        <v>Done</v>
      </c>
      <c r="Q67" s="7">
        <v>45512</v>
      </c>
      <c r="R67" s="9"/>
      <c r="S67" s="8" t="s">
        <v>7</v>
      </c>
      <c r="T67" s="8">
        <v>500000</v>
      </c>
      <c r="U67" s="7"/>
      <c r="V67" s="5"/>
      <c r="W67" s="7"/>
      <c r="X67" s="5" t="str">
        <f t="shared" si="21"/>
        <v/>
      </c>
      <c r="Y67" s="7"/>
      <c r="Z67" s="7"/>
      <c r="AA67" s="5" t="str">
        <f t="shared" si="15"/>
        <v/>
      </c>
      <c r="AB67" s="7"/>
      <c r="AC67" s="7"/>
      <c r="AD67" s="5"/>
      <c r="AE67" s="7"/>
      <c r="AF67" s="6"/>
      <c r="AG67" s="5"/>
      <c r="AH67" s="5">
        <f t="shared" si="23"/>
        <v>1</v>
      </c>
      <c r="AI67" s="5" t="str">
        <f t="shared" si="24"/>
        <v>-</v>
      </c>
      <c r="AJ67" s="5" t="str">
        <f t="shared" si="25"/>
        <v>-</v>
      </c>
    </row>
    <row r="68" spans="1:36" x14ac:dyDescent="0.25">
      <c r="A68" s="5">
        <v>67</v>
      </c>
      <c r="B68" s="130">
        <v>9734</v>
      </c>
      <c r="C68" s="14">
        <v>45511</v>
      </c>
      <c r="D68" s="5" t="str">
        <f t="shared" si="22"/>
        <v>Aug</v>
      </c>
      <c r="E68" s="8" t="s">
        <v>14</v>
      </c>
      <c r="F68" s="13" t="s">
        <v>610</v>
      </c>
      <c r="G68" s="12">
        <v>3313</v>
      </c>
      <c r="H68" s="11" t="str">
        <f>IF(G68="","",VLOOKUP(G68,'MASTER DATA'!C:D,2,FALSE ))</f>
        <v>Sher Singh Rajput</v>
      </c>
      <c r="I68" s="10" t="str">
        <f>IF(G68="","",VLOOKUP(G68,'MASTER DATA'!C:F,4,FALSE ))</f>
        <v>Rajesh Varma</v>
      </c>
      <c r="J68" s="10">
        <f>IF(G68="","",VLOOKUP(G68,'MASTER DATA'!C:J,8,FALSE))</f>
        <v>1962</v>
      </c>
      <c r="K68" s="10" t="str">
        <f>IF(I68="","",VLOOKUP(I68,'MASTER DATA'!F:G,2,FALSE ))</f>
        <v>TBI (Ratlam)</v>
      </c>
      <c r="L68" s="10" t="str">
        <f>IF(K68="","",VLOOKUP(K68,'MASTER DATA'!G:K,5,FALSE))</f>
        <v>TBI (Ratlam)</v>
      </c>
      <c r="M68" s="10" t="str">
        <f>IF(G68="","",VLOOKUP(G68,'MASTER DATA'!C:L,10,0))</f>
        <v>Ranjan Somani</v>
      </c>
      <c r="N68" s="5" t="str">
        <f>VLOOKUP(G68,'MASTER DATA'!C:I,7,0)</f>
        <v>Manoj Chauhan</v>
      </c>
      <c r="O68" s="5" t="s">
        <v>52</v>
      </c>
      <c r="P68" s="5" t="str">
        <f t="shared" si="20"/>
        <v>Done</v>
      </c>
      <c r="Q68" s="7">
        <v>45512</v>
      </c>
      <c r="R68" s="9"/>
      <c r="S68" s="8" t="s">
        <v>7</v>
      </c>
      <c r="T68" s="8">
        <v>800000</v>
      </c>
      <c r="U68" s="7"/>
      <c r="V68" s="5"/>
      <c r="W68" s="7"/>
      <c r="X68" s="5" t="str">
        <f t="shared" si="21"/>
        <v/>
      </c>
      <c r="Y68" s="7"/>
      <c r="Z68" s="7"/>
      <c r="AA68" s="5" t="str">
        <f t="shared" si="15"/>
        <v/>
      </c>
      <c r="AB68" s="7"/>
      <c r="AC68" s="7"/>
      <c r="AD68" s="5"/>
      <c r="AE68" s="7"/>
      <c r="AF68" s="6"/>
      <c r="AG68" s="5"/>
      <c r="AH68" s="5">
        <f t="shared" si="23"/>
        <v>1</v>
      </c>
      <c r="AI68" s="5" t="str">
        <f t="shared" si="24"/>
        <v>-</v>
      </c>
      <c r="AJ68" s="5" t="str">
        <f t="shared" si="25"/>
        <v>-</v>
      </c>
    </row>
    <row r="69" spans="1:36" x14ac:dyDescent="0.25">
      <c r="A69" s="5">
        <v>68</v>
      </c>
      <c r="B69" s="130">
        <v>9282</v>
      </c>
      <c r="C69" s="14">
        <v>45511</v>
      </c>
      <c r="D69" s="5" t="str">
        <f t="shared" si="22"/>
        <v>Aug</v>
      </c>
      <c r="E69" s="8" t="s">
        <v>467</v>
      </c>
      <c r="F69" s="13" t="s">
        <v>611</v>
      </c>
      <c r="G69" s="12">
        <v>1990</v>
      </c>
      <c r="H69" s="11" t="str">
        <f>IF(G69="","",VLOOKUP(G69,'MASTER DATA'!C:D,2,FALSE ))</f>
        <v>Ramesh Saini</v>
      </c>
      <c r="I69" s="10" t="str">
        <f>IF(G69="","",VLOOKUP(G69,'MASTER DATA'!C:F,4,FALSE ))</f>
        <v>Bharat Singh Kuntal</v>
      </c>
      <c r="J69" s="10">
        <f>IF(G69="","",VLOOKUP(G69,'MASTER DATA'!C:J,8,FALSE))</f>
        <v>1772</v>
      </c>
      <c r="K69" s="10" t="str">
        <f>IF(I69="","",VLOOKUP(I69,'MASTER DATA'!F:G,2,FALSE ))</f>
        <v>Bharat Singh Kuntal</v>
      </c>
      <c r="L69" s="10">
        <f>IF(K69="","",VLOOKUP(K69,'MASTER DATA'!G:K,5,FALSE))</f>
        <v>1772</v>
      </c>
      <c r="M69" s="10" t="str">
        <f>IF(G69="","",VLOOKUP(G69,'MASTER DATA'!C:L,10,0))</f>
        <v>Mayur Luhadia</v>
      </c>
      <c r="N69" s="5" t="str">
        <f>VLOOKUP(G69,'MASTER DATA'!C:I,7,0)</f>
        <v>Sunil Bagoria</v>
      </c>
      <c r="O69" s="5" t="s">
        <v>58</v>
      </c>
      <c r="P69" s="5" t="str">
        <f t="shared" si="20"/>
        <v>Done</v>
      </c>
      <c r="Q69" s="7">
        <v>45511</v>
      </c>
      <c r="R69" s="9" t="s">
        <v>621</v>
      </c>
      <c r="S69" s="8" t="s">
        <v>21</v>
      </c>
      <c r="T69" s="8">
        <v>600000</v>
      </c>
      <c r="U69" s="7"/>
      <c r="V69" s="5"/>
      <c r="W69" s="7"/>
      <c r="X69" s="5" t="str">
        <f t="shared" si="21"/>
        <v/>
      </c>
      <c r="Y69" s="7"/>
      <c r="Z69" s="7"/>
      <c r="AA69" s="5" t="str">
        <f t="shared" si="15"/>
        <v/>
      </c>
      <c r="AB69" s="7"/>
      <c r="AC69" s="7"/>
      <c r="AD69" s="5"/>
      <c r="AE69" s="7"/>
      <c r="AF69" s="6"/>
      <c r="AG69" s="5"/>
      <c r="AH69" s="5">
        <f t="shared" si="23"/>
        <v>0</v>
      </c>
      <c r="AI69" s="5" t="str">
        <f t="shared" si="24"/>
        <v>-</v>
      </c>
      <c r="AJ69" s="5" t="str">
        <f t="shared" si="25"/>
        <v>-</v>
      </c>
    </row>
    <row r="70" spans="1:36" x14ac:dyDescent="0.25">
      <c r="A70" s="5">
        <v>69</v>
      </c>
      <c r="B70" s="130">
        <v>9714</v>
      </c>
      <c r="C70" s="14">
        <v>45511</v>
      </c>
      <c r="D70" s="5" t="str">
        <f t="shared" si="22"/>
        <v>Aug</v>
      </c>
      <c r="E70" s="8" t="s">
        <v>17</v>
      </c>
      <c r="F70" s="13" t="s">
        <v>612</v>
      </c>
      <c r="G70" s="12">
        <v>3228</v>
      </c>
      <c r="H70" s="11" t="str">
        <f>IF(G70="","",VLOOKUP(G70,'MASTER DATA'!C:D,2,FALSE ))</f>
        <v>Hemendra Singh Tomar</v>
      </c>
      <c r="I70" s="10" t="str">
        <f>IF(G70="","",VLOOKUP(G70,'MASTER DATA'!C:F,4,FALSE ))</f>
        <v>Shyam Soni</v>
      </c>
      <c r="J70" s="10">
        <f>IF(G70="","",VLOOKUP(G70,'MASTER DATA'!C:J,8,FALSE))</f>
        <v>3198</v>
      </c>
      <c r="K70" s="10" t="str">
        <f>IF(I70="","",VLOOKUP(I70,'MASTER DATA'!F:G,2,FALSE ))</f>
        <v>Ankur Khole</v>
      </c>
      <c r="L70" s="10">
        <f>IF(K70="","",VLOOKUP(K70,'MASTER DATA'!G:K,5,FALSE))</f>
        <v>3052</v>
      </c>
      <c r="M70" s="10" t="str">
        <f>IF(G70="","",VLOOKUP(G70,'MASTER DATA'!C:L,10,0))</f>
        <v>Ranjan Somani</v>
      </c>
      <c r="N70" s="5" t="str">
        <f>VLOOKUP(G70,'MASTER DATA'!C:I,7,0)</f>
        <v>Manoj Chauhan</v>
      </c>
      <c r="O70" s="5"/>
      <c r="P70" s="5" t="str">
        <f t="shared" si="20"/>
        <v/>
      </c>
      <c r="Q70" s="7"/>
      <c r="R70" s="9"/>
      <c r="S70" s="8" t="s">
        <v>0</v>
      </c>
      <c r="T70" s="8">
        <v>900000</v>
      </c>
      <c r="U70" s="7"/>
      <c r="V70" s="5"/>
      <c r="W70" s="7"/>
      <c r="X70" s="5" t="str">
        <f t="shared" si="21"/>
        <v/>
      </c>
      <c r="Y70" s="7"/>
      <c r="Z70" s="7"/>
      <c r="AA70" s="5" t="str">
        <f t="shared" si="15"/>
        <v/>
      </c>
      <c r="AB70" s="7"/>
      <c r="AC70" s="7"/>
      <c r="AD70" s="5"/>
      <c r="AE70" s="7"/>
      <c r="AF70" s="6"/>
      <c r="AG70" s="5"/>
      <c r="AH70" s="5" t="str">
        <f t="shared" si="23"/>
        <v>-</v>
      </c>
      <c r="AI70" s="5" t="str">
        <f t="shared" si="24"/>
        <v>-</v>
      </c>
      <c r="AJ70" s="5" t="str">
        <f t="shared" si="25"/>
        <v>-</v>
      </c>
    </row>
    <row r="71" spans="1:36" x14ac:dyDescent="0.25">
      <c r="A71" s="5">
        <v>70</v>
      </c>
      <c r="B71" s="130">
        <v>9703</v>
      </c>
      <c r="C71" s="14">
        <v>45511</v>
      </c>
      <c r="D71" s="5" t="str">
        <f t="shared" si="22"/>
        <v>Aug</v>
      </c>
      <c r="E71" s="8" t="s">
        <v>46</v>
      </c>
      <c r="F71" s="13" t="s">
        <v>572</v>
      </c>
      <c r="G71" s="12">
        <v>3460</v>
      </c>
      <c r="H71" s="11" t="str">
        <f>IF(G71="","",VLOOKUP(G71,'MASTER DATA'!C:D,2,FALSE ))</f>
        <v>Rahul Manddloi</v>
      </c>
      <c r="I71" s="10" t="str">
        <f>IF(G71="","",VLOOKUP(G71,'MASTER DATA'!C:F,4,FALSE ))</f>
        <v>Nitesh</v>
      </c>
      <c r="J71" s="10">
        <f>IF(G71="","",VLOOKUP(G71,'MASTER DATA'!C:J,8,FALSE))</f>
        <v>3286</v>
      </c>
      <c r="K71" s="10" t="str">
        <f>IF(I71="","",VLOOKUP(I71,'MASTER DATA'!F:G,2,FALSE ))</f>
        <v>Ankur Khole</v>
      </c>
      <c r="L71" s="10">
        <f>IF(K71="","",VLOOKUP(K71,'MASTER DATA'!G:K,5,FALSE))</f>
        <v>3052</v>
      </c>
      <c r="M71" s="10" t="str">
        <f>IF(G71="","",VLOOKUP(G71,'MASTER DATA'!C:L,10,0))</f>
        <v>Ranjan Somani</v>
      </c>
      <c r="N71" s="5" t="str">
        <f>VLOOKUP(G71,'MASTER DATA'!C:I,7,0)</f>
        <v>Manoj Chauhan</v>
      </c>
      <c r="O71" s="5" t="s">
        <v>16</v>
      </c>
      <c r="P71" s="5" t="str">
        <f t="shared" si="20"/>
        <v>Done</v>
      </c>
      <c r="Q71" s="7">
        <v>45511</v>
      </c>
      <c r="R71" s="9"/>
      <c r="S71" s="8" t="s">
        <v>7</v>
      </c>
      <c r="T71" s="8">
        <v>500000</v>
      </c>
      <c r="U71" s="7"/>
      <c r="V71" s="5"/>
      <c r="W71" s="7"/>
      <c r="X71" s="5" t="str">
        <f t="shared" si="21"/>
        <v/>
      </c>
      <c r="Y71" s="7">
        <v>45511</v>
      </c>
      <c r="Z71" s="7"/>
      <c r="AA71" s="5" t="str">
        <f t="shared" si="15"/>
        <v>Pending</v>
      </c>
      <c r="AB71" s="7"/>
      <c r="AC71" s="7"/>
      <c r="AD71" s="5"/>
      <c r="AE71" s="7"/>
      <c r="AF71" s="6"/>
      <c r="AG71" s="5"/>
      <c r="AH71" s="5">
        <f t="shared" si="23"/>
        <v>0</v>
      </c>
      <c r="AI71" s="5" t="str">
        <f t="shared" si="24"/>
        <v>-</v>
      </c>
      <c r="AJ71" s="5" t="str">
        <f t="shared" si="25"/>
        <v>-</v>
      </c>
    </row>
    <row r="72" spans="1:36" x14ac:dyDescent="0.25">
      <c r="A72" s="5">
        <v>71</v>
      </c>
      <c r="B72" s="130">
        <v>9738</v>
      </c>
      <c r="C72" s="14">
        <v>45511</v>
      </c>
      <c r="D72" s="5" t="str">
        <f t="shared" si="22"/>
        <v>Aug</v>
      </c>
      <c r="E72" s="8" t="s">
        <v>6</v>
      </c>
      <c r="F72" s="13" t="s">
        <v>613</v>
      </c>
      <c r="G72" s="12">
        <v>3325</v>
      </c>
      <c r="H72" s="11" t="str">
        <f>IF(G72="","",VLOOKUP(G72,'MASTER DATA'!C:D,2,FALSE ))</f>
        <v>Vikas Kumar</v>
      </c>
      <c r="I72" s="10" t="str">
        <f>IF(G72="","",VLOOKUP(G72,'MASTER DATA'!C:F,4,FALSE ))</f>
        <v>Vikash kumar</v>
      </c>
      <c r="J72" s="10">
        <f>IF(G72="","",VLOOKUP(G72,'MASTER DATA'!C:J,8,FALSE))</f>
        <v>3237</v>
      </c>
      <c r="K72" s="10" t="str">
        <f>IF(I72="","",VLOOKUP(I72,'MASTER DATA'!F:G,2,FALSE ))</f>
        <v>Santosh Kumar</v>
      </c>
      <c r="L72" s="10">
        <f>IF(K72="","",VLOOKUP(K72,'MASTER DATA'!G:K,5,FALSE))</f>
        <v>1447</v>
      </c>
      <c r="M72" s="10" t="str">
        <f>IF(G72="","",VLOOKUP(G72,'MASTER DATA'!C:L,10,0))</f>
        <v>Mayur Luhadia</v>
      </c>
      <c r="N72" s="5" t="str">
        <f>VLOOKUP(G72,'MASTER DATA'!C:I,7,0)</f>
        <v>Sunil Bagoria</v>
      </c>
      <c r="O72" s="5" t="s">
        <v>599</v>
      </c>
      <c r="P72" s="5" t="str">
        <f t="shared" si="20"/>
        <v>Done</v>
      </c>
      <c r="Q72" s="7">
        <v>45512</v>
      </c>
      <c r="R72" s="9" t="s">
        <v>652</v>
      </c>
      <c r="S72" s="8" t="s">
        <v>21</v>
      </c>
      <c r="T72" s="8">
        <v>500000</v>
      </c>
      <c r="U72" s="7"/>
      <c r="V72" s="5"/>
      <c r="W72" s="7"/>
      <c r="X72" s="5" t="str">
        <f t="shared" si="21"/>
        <v/>
      </c>
      <c r="Y72" s="7"/>
      <c r="Z72" s="7"/>
      <c r="AA72" s="5" t="str">
        <f t="shared" ref="AA72:AA103" si="26">IF(AND(ISBLANK(Y72), ISBLANK(Z72)), "", IF(AND(NOT(ISBLANK(Y72)), ISBLANK(Z72)), "Pending", IF(AND(ISBLANK(Y72), NOT(ISBLANK(Z72))), "Received", "Received")))</f>
        <v/>
      </c>
      <c r="AB72" s="7"/>
      <c r="AC72" s="7"/>
      <c r="AD72" s="5"/>
      <c r="AE72" s="7"/>
      <c r="AF72" s="6"/>
      <c r="AG72" s="5"/>
      <c r="AH72" s="5">
        <f t="shared" si="23"/>
        <v>1</v>
      </c>
      <c r="AI72" s="5" t="str">
        <f t="shared" si="24"/>
        <v>-</v>
      </c>
      <c r="AJ72" s="5" t="str">
        <f t="shared" si="25"/>
        <v>-</v>
      </c>
    </row>
    <row r="73" spans="1:36" x14ac:dyDescent="0.25">
      <c r="A73" s="5">
        <v>72</v>
      </c>
      <c r="B73" s="130">
        <v>9726</v>
      </c>
      <c r="C73" s="14">
        <v>45511</v>
      </c>
      <c r="D73" s="5" t="str">
        <f t="shared" si="22"/>
        <v>Aug</v>
      </c>
      <c r="E73" s="8" t="s">
        <v>467</v>
      </c>
      <c r="F73" s="13" t="s">
        <v>614</v>
      </c>
      <c r="G73" s="12">
        <v>1821</v>
      </c>
      <c r="H73" s="11" t="str">
        <f>IF(G73="","",VLOOKUP(G73,'MASTER DATA'!C:D,2,FALSE ))</f>
        <v>Dinesh Kumar</v>
      </c>
      <c r="I73" s="10" t="str">
        <f>IF(G73="","",VLOOKUP(G73,'MASTER DATA'!C:F,4,FALSE ))</f>
        <v>Bharat Singh Kuntal</v>
      </c>
      <c r="J73" s="10">
        <f>IF(G73="","",VLOOKUP(G73,'MASTER DATA'!C:J,8,FALSE))</f>
        <v>1772</v>
      </c>
      <c r="K73" s="10" t="str">
        <f>IF(I73="","",VLOOKUP(I73,'MASTER DATA'!F:G,2,FALSE ))</f>
        <v>Bharat Singh Kuntal</v>
      </c>
      <c r="L73" s="10">
        <f>IF(K73="","",VLOOKUP(K73,'MASTER DATA'!G:K,5,FALSE))</f>
        <v>1772</v>
      </c>
      <c r="M73" s="10" t="str">
        <f>IF(G73="","",VLOOKUP(G73,'MASTER DATA'!C:L,10,0))</f>
        <v>Mayur Luhadia</v>
      </c>
      <c r="N73" s="5" t="str">
        <f>VLOOKUP(G73,'MASTER DATA'!C:I,7,0)</f>
        <v>Sunil Bagoria</v>
      </c>
      <c r="O73" s="5" t="s">
        <v>47</v>
      </c>
      <c r="P73" s="5" t="str">
        <f t="shared" si="20"/>
        <v>Done</v>
      </c>
      <c r="Q73" s="7">
        <v>45512</v>
      </c>
      <c r="R73" s="9"/>
      <c r="S73" s="8" t="s">
        <v>7</v>
      </c>
      <c r="T73" s="8">
        <v>800000</v>
      </c>
      <c r="U73" s="7"/>
      <c r="V73" s="5"/>
      <c r="W73" s="7"/>
      <c r="X73" s="5" t="str">
        <f t="shared" si="21"/>
        <v/>
      </c>
      <c r="Y73" s="7"/>
      <c r="Z73" s="7"/>
      <c r="AA73" s="5" t="str">
        <f t="shared" si="26"/>
        <v/>
      </c>
      <c r="AB73" s="7"/>
      <c r="AC73" s="7"/>
      <c r="AD73" s="5"/>
      <c r="AE73" s="7"/>
      <c r="AF73" s="6"/>
      <c r="AG73" s="5"/>
      <c r="AH73" s="5">
        <f t="shared" si="23"/>
        <v>1</v>
      </c>
      <c r="AI73" s="5" t="str">
        <f t="shared" si="24"/>
        <v>-</v>
      </c>
      <c r="AJ73" s="5" t="str">
        <f t="shared" si="25"/>
        <v>-</v>
      </c>
    </row>
    <row r="74" spans="1:36" x14ac:dyDescent="0.25">
      <c r="A74" s="5">
        <v>73</v>
      </c>
      <c r="B74" s="130">
        <v>9756</v>
      </c>
      <c r="C74" s="14">
        <v>45511</v>
      </c>
      <c r="D74" s="5" t="str">
        <f t="shared" ref="D74:D83" si="27">IF(C74="","",TEXT(C74,"mmm"))</f>
        <v>Aug</v>
      </c>
      <c r="E74" s="8" t="s">
        <v>4</v>
      </c>
      <c r="F74" s="13" t="s">
        <v>626</v>
      </c>
      <c r="G74" s="12">
        <v>1394</v>
      </c>
      <c r="H74" s="11" t="str">
        <f>IF(G74="","",VLOOKUP(G74,'MASTER DATA'!C:D,2,FALSE ))</f>
        <v>Vikram Singh Shekhawat</v>
      </c>
      <c r="I74" s="10" t="str">
        <f>IF(G74="","",VLOOKUP(G74,'MASTER DATA'!C:F,4,FALSE ))</f>
        <v>Deepak Vajpayee</v>
      </c>
      <c r="J74" s="10">
        <f>IF(G74="","",VLOOKUP(G74,'MASTER DATA'!C:J,8,FALSE))</f>
        <v>1358</v>
      </c>
      <c r="K74" s="10" t="str">
        <f>IF(I74="","",VLOOKUP(I74,'MASTER DATA'!F:G,2,FALSE ))</f>
        <v>Vijay Yadav</v>
      </c>
      <c r="L74" s="10">
        <f>IF(K74="","",VLOOKUP(K74,'MASTER DATA'!G:K,5,FALSE))</f>
        <v>1463</v>
      </c>
      <c r="M74" s="10" t="str">
        <f>IF(G74="","",VLOOKUP(G74,'MASTER DATA'!C:L,10,0))</f>
        <v>Mayur Luhadia</v>
      </c>
      <c r="N74" s="5" t="str">
        <f>VLOOKUP(G74,'MASTER DATA'!C:I,7,0)</f>
        <v>Ajay Gupta</v>
      </c>
      <c r="O74" s="5" t="s">
        <v>44</v>
      </c>
      <c r="P74" s="5" t="str">
        <f t="shared" ref="P74:P82" si="28">IF(O74="","","Done")</f>
        <v>Done</v>
      </c>
      <c r="Q74" s="7">
        <v>45512</v>
      </c>
      <c r="R74" s="9"/>
      <c r="S74" s="8" t="s">
        <v>7</v>
      </c>
      <c r="T74" s="8">
        <v>600000</v>
      </c>
      <c r="U74" s="7"/>
      <c r="V74" s="5"/>
      <c r="W74" s="7"/>
      <c r="X74" s="5" t="str">
        <f t="shared" ref="X74:X82" si="29">IF(W74="","",TEXT(W74,"mmm"))</f>
        <v/>
      </c>
      <c r="Y74" s="7"/>
      <c r="Z74" s="7"/>
      <c r="AA74" s="5" t="str">
        <f t="shared" si="26"/>
        <v/>
      </c>
      <c r="AB74" s="7"/>
      <c r="AC74" s="7"/>
      <c r="AD74" s="5"/>
      <c r="AE74" s="7"/>
      <c r="AF74" s="6"/>
      <c r="AG74" s="5"/>
      <c r="AH74" s="5">
        <f t="shared" si="23"/>
        <v>1</v>
      </c>
      <c r="AI74" s="5" t="str">
        <f t="shared" si="24"/>
        <v>-</v>
      </c>
      <c r="AJ74" s="5" t="str">
        <f t="shared" si="25"/>
        <v>-</v>
      </c>
    </row>
    <row r="75" spans="1:36" x14ac:dyDescent="0.25">
      <c r="A75" s="5">
        <v>74</v>
      </c>
      <c r="B75" s="130">
        <v>9747</v>
      </c>
      <c r="C75" s="14">
        <v>45511</v>
      </c>
      <c r="D75" s="5" t="str">
        <f t="shared" si="27"/>
        <v>Aug</v>
      </c>
      <c r="E75" s="8" t="s">
        <v>10</v>
      </c>
      <c r="F75" s="13" t="s">
        <v>627</v>
      </c>
      <c r="G75" s="12">
        <v>3146</v>
      </c>
      <c r="H75" s="11" t="str">
        <f>IF(G75="","",VLOOKUP(G75,'MASTER DATA'!C:D,2,FALSE ))</f>
        <v>Pankaj Dhanak</v>
      </c>
      <c r="I75" s="10" t="str">
        <f>IF(G75="","",VLOOKUP(G75,'MASTER DATA'!C:F,4,FALSE ))</f>
        <v>Rajesh Varma</v>
      </c>
      <c r="J75" s="10">
        <f>IF(G75="","",VLOOKUP(G75,'MASTER DATA'!C:J,8,FALSE))</f>
        <v>1962</v>
      </c>
      <c r="K75" s="10" t="str">
        <f>IF(I75="","",VLOOKUP(I75,'MASTER DATA'!F:G,2,FALSE ))</f>
        <v>TBI (Ratlam)</v>
      </c>
      <c r="L75" s="10" t="str">
        <f>IF(K75="","",VLOOKUP(K75,'MASTER DATA'!G:K,5,FALSE))</f>
        <v>TBI (Ratlam)</v>
      </c>
      <c r="M75" s="10" t="str">
        <f>IF(G75="","",VLOOKUP(G75,'MASTER DATA'!C:L,10,0))</f>
        <v>Ranjan Somani</v>
      </c>
      <c r="N75" s="5" t="str">
        <f>VLOOKUP(G75,'MASTER DATA'!C:I,7,0)</f>
        <v>Manoj Chauhan</v>
      </c>
      <c r="O75" s="5"/>
      <c r="P75" s="5" t="str">
        <f t="shared" si="28"/>
        <v/>
      </c>
      <c r="Q75" s="7"/>
      <c r="R75" s="9"/>
      <c r="S75" s="8" t="s">
        <v>0</v>
      </c>
      <c r="T75" s="8">
        <v>700000</v>
      </c>
      <c r="U75" s="7"/>
      <c r="V75" s="5"/>
      <c r="W75" s="7"/>
      <c r="X75" s="5" t="str">
        <f t="shared" si="29"/>
        <v/>
      </c>
      <c r="Y75" s="7"/>
      <c r="Z75" s="7"/>
      <c r="AA75" s="5" t="str">
        <f t="shared" si="26"/>
        <v/>
      </c>
      <c r="AB75" s="7"/>
      <c r="AC75" s="7"/>
      <c r="AD75" s="5"/>
      <c r="AE75" s="7"/>
      <c r="AF75" s="6"/>
      <c r="AG75" s="5"/>
      <c r="AH75" s="5" t="str">
        <f t="shared" si="23"/>
        <v>-</v>
      </c>
      <c r="AI75" s="5" t="str">
        <f t="shared" si="24"/>
        <v>-</v>
      </c>
      <c r="AJ75" s="5" t="str">
        <f t="shared" si="25"/>
        <v>-</v>
      </c>
    </row>
    <row r="76" spans="1:36" x14ac:dyDescent="0.25">
      <c r="A76" s="5">
        <v>75</v>
      </c>
      <c r="B76" s="130">
        <v>9673</v>
      </c>
      <c r="C76" s="14">
        <v>45511</v>
      </c>
      <c r="D76" s="5" t="str">
        <f t="shared" si="27"/>
        <v>Aug</v>
      </c>
      <c r="E76" s="8" t="s">
        <v>10</v>
      </c>
      <c r="F76" s="13" t="s">
        <v>628</v>
      </c>
      <c r="G76" s="12">
        <v>3146</v>
      </c>
      <c r="H76" s="11" t="str">
        <f>IF(G76="","",VLOOKUP(G76,'MASTER DATA'!C:D,2,FALSE ))</f>
        <v>Pankaj Dhanak</v>
      </c>
      <c r="I76" s="10" t="str">
        <f>IF(G76="","",VLOOKUP(G76,'MASTER DATA'!C:F,4,FALSE ))</f>
        <v>Rajesh Varma</v>
      </c>
      <c r="J76" s="10">
        <f>IF(G76="","",VLOOKUP(G76,'MASTER DATA'!C:J,8,FALSE))</f>
        <v>1962</v>
      </c>
      <c r="K76" s="10" t="str">
        <f>IF(I76="","",VLOOKUP(I76,'MASTER DATA'!F:G,2,FALSE ))</f>
        <v>TBI (Ratlam)</v>
      </c>
      <c r="L76" s="10" t="str">
        <f>IF(K76="","",VLOOKUP(K76,'MASTER DATA'!G:K,5,FALSE))</f>
        <v>TBI (Ratlam)</v>
      </c>
      <c r="M76" s="10" t="str">
        <f>IF(G76="","",VLOOKUP(G76,'MASTER DATA'!C:L,10,0))</f>
        <v>Ranjan Somani</v>
      </c>
      <c r="N76" s="5" t="str">
        <f>VLOOKUP(G76,'MASTER DATA'!C:I,7,0)</f>
        <v>Manoj Chauhan</v>
      </c>
      <c r="O76" s="5"/>
      <c r="P76" s="5" t="str">
        <f t="shared" si="28"/>
        <v/>
      </c>
      <c r="Q76" s="7"/>
      <c r="R76" s="9"/>
      <c r="S76" s="8" t="s">
        <v>0</v>
      </c>
      <c r="T76" s="8">
        <v>600000</v>
      </c>
      <c r="U76" s="7"/>
      <c r="V76" s="5"/>
      <c r="W76" s="7"/>
      <c r="X76" s="5" t="str">
        <f t="shared" si="29"/>
        <v/>
      </c>
      <c r="Y76" s="7"/>
      <c r="Z76" s="7"/>
      <c r="AA76" s="5" t="str">
        <f t="shared" si="26"/>
        <v/>
      </c>
      <c r="AB76" s="7"/>
      <c r="AC76" s="7"/>
      <c r="AD76" s="5"/>
      <c r="AE76" s="7"/>
      <c r="AF76" s="6"/>
      <c r="AG76" s="5"/>
      <c r="AH76" s="5" t="str">
        <f t="shared" si="23"/>
        <v>-</v>
      </c>
      <c r="AI76" s="5" t="str">
        <f t="shared" si="24"/>
        <v>-</v>
      </c>
      <c r="AJ76" s="5" t="str">
        <f t="shared" si="25"/>
        <v>-</v>
      </c>
    </row>
    <row r="77" spans="1:36" x14ac:dyDescent="0.25">
      <c r="A77" s="5">
        <v>76</v>
      </c>
      <c r="B77" s="130">
        <v>9540</v>
      </c>
      <c r="C77" s="14">
        <v>45511</v>
      </c>
      <c r="D77" s="5" t="str">
        <f t="shared" si="27"/>
        <v>Aug</v>
      </c>
      <c r="E77" s="8" t="s">
        <v>481</v>
      </c>
      <c r="F77" s="13" t="s">
        <v>629</v>
      </c>
      <c r="G77" s="12">
        <v>1843</v>
      </c>
      <c r="H77" s="11" t="str">
        <f>IF(G77="","",VLOOKUP(G77,'MASTER DATA'!C:D,2,FALSE ))</f>
        <v>Sahi Ram</v>
      </c>
      <c r="I77" s="10" t="str">
        <f>IF(G77="","",VLOOKUP(G77,'MASTER DATA'!C:F,4,FALSE ))</f>
        <v>Nemichand Nain</v>
      </c>
      <c r="J77" s="10">
        <f>IF(G77="","",VLOOKUP(G77,'MASTER DATA'!C:J,8,FALSE))</f>
        <v>1762</v>
      </c>
      <c r="K77" s="10" t="str">
        <f>IF(I77="","",VLOOKUP(I77,'MASTER DATA'!F:G,2,FALSE ))</f>
        <v>Santosh Kumar</v>
      </c>
      <c r="L77" s="10">
        <f>IF(K77="","",VLOOKUP(K77,'MASTER DATA'!G:K,5,FALSE))</f>
        <v>1447</v>
      </c>
      <c r="M77" s="10" t="str">
        <f>IF(G77="","",VLOOKUP(G77,'MASTER DATA'!C:L,10,0))</f>
        <v>Mayur Luhadia</v>
      </c>
      <c r="N77" s="5" t="str">
        <f>VLOOKUP(G77,'MASTER DATA'!C:I,7,0)</f>
        <v>Sunil Bagoria</v>
      </c>
      <c r="O77" s="5" t="s">
        <v>61</v>
      </c>
      <c r="P77" s="5" t="str">
        <f t="shared" si="28"/>
        <v>Done</v>
      </c>
      <c r="Q77" s="7">
        <v>45512</v>
      </c>
      <c r="R77" s="9" t="s">
        <v>624</v>
      </c>
      <c r="S77" s="8" t="s">
        <v>21</v>
      </c>
      <c r="T77" s="8">
        <v>700000</v>
      </c>
      <c r="U77" s="7"/>
      <c r="V77" s="5"/>
      <c r="W77" s="7"/>
      <c r="X77" s="5" t="str">
        <f t="shared" si="29"/>
        <v/>
      </c>
      <c r="Y77" s="7"/>
      <c r="Z77" s="7"/>
      <c r="AA77" s="5" t="str">
        <f t="shared" si="26"/>
        <v/>
      </c>
      <c r="AB77" s="7"/>
      <c r="AC77" s="7"/>
      <c r="AD77" s="5"/>
      <c r="AE77" s="7"/>
      <c r="AF77" s="6"/>
      <c r="AG77" s="5"/>
      <c r="AH77" s="5">
        <f t="shared" si="23"/>
        <v>1</v>
      </c>
      <c r="AI77" s="5" t="str">
        <f t="shared" si="24"/>
        <v>-</v>
      </c>
      <c r="AJ77" s="5" t="str">
        <f t="shared" si="25"/>
        <v>-</v>
      </c>
    </row>
    <row r="78" spans="1:36" x14ac:dyDescent="0.25">
      <c r="A78" s="5">
        <v>77</v>
      </c>
      <c r="B78" s="130">
        <v>9209</v>
      </c>
      <c r="C78" s="14">
        <v>45511</v>
      </c>
      <c r="D78" s="5" t="str">
        <f t="shared" si="27"/>
        <v>Aug</v>
      </c>
      <c r="E78" s="8" t="s">
        <v>43</v>
      </c>
      <c r="F78" s="13" t="s">
        <v>630</v>
      </c>
      <c r="G78" s="12">
        <v>1851</v>
      </c>
      <c r="H78" s="11" t="str">
        <f>IF(G78="","",VLOOKUP(G78,'MASTER DATA'!C:D,2,FALSE ))</f>
        <v>Surendra Kuri</v>
      </c>
      <c r="I78" s="10" t="str">
        <f>IF(G78="","",VLOOKUP(G78,'MASTER DATA'!C:F,4,FALSE ))</f>
        <v>Rakesh Yadav</v>
      </c>
      <c r="J78" s="10">
        <f>IF(G78="","",VLOOKUP(G78,'MASTER DATA'!C:J,8,FALSE))</f>
        <v>3343</v>
      </c>
      <c r="K78" s="10" t="str">
        <f>IF(I78="","",VLOOKUP(I78,'MASTER DATA'!F:G,2,FALSE ))</f>
        <v>Deepak Sharma</v>
      </c>
      <c r="L78" s="10">
        <f>IF(K78="","",VLOOKUP(K78,'MASTER DATA'!G:K,5,FALSE))</f>
        <v>1449</v>
      </c>
      <c r="M78" s="10" t="str">
        <f>IF(G78="","",VLOOKUP(G78,'MASTER DATA'!C:L,10,0))</f>
        <v>Pawan Khandelwal</v>
      </c>
      <c r="N78" s="5" t="str">
        <f>VLOOKUP(G78,'MASTER DATA'!C:I,7,0)</f>
        <v>Ajay Gupta</v>
      </c>
      <c r="O78" s="5" t="s">
        <v>42</v>
      </c>
      <c r="P78" s="5" t="str">
        <f t="shared" si="28"/>
        <v>Done</v>
      </c>
      <c r="Q78" s="7">
        <v>45512</v>
      </c>
      <c r="R78" s="9"/>
      <c r="S78" s="8" t="s">
        <v>7</v>
      </c>
      <c r="T78" s="8">
        <v>950000</v>
      </c>
      <c r="U78" s="7"/>
      <c r="V78" s="5"/>
      <c r="W78" s="7"/>
      <c r="X78" s="5" t="str">
        <f t="shared" si="29"/>
        <v/>
      </c>
      <c r="Y78" s="7"/>
      <c r="Z78" s="7"/>
      <c r="AA78" s="5" t="str">
        <f t="shared" si="26"/>
        <v/>
      </c>
      <c r="AB78" s="7"/>
      <c r="AC78" s="7"/>
      <c r="AD78" s="5"/>
      <c r="AE78" s="7"/>
      <c r="AF78" s="6"/>
      <c r="AG78" s="5"/>
      <c r="AH78" s="5">
        <f t="shared" si="23"/>
        <v>1</v>
      </c>
      <c r="AI78" s="5" t="str">
        <f t="shared" si="24"/>
        <v>-</v>
      </c>
      <c r="AJ78" s="5" t="str">
        <f t="shared" si="25"/>
        <v>-</v>
      </c>
    </row>
    <row r="79" spans="1:36" x14ac:dyDescent="0.25">
      <c r="A79" s="5">
        <v>78</v>
      </c>
      <c r="B79" s="130">
        <v>9746</v>
      </c>
      <c r="C79" s="14">
        <v>45511</v>
      </c>
      <c r="D79" s="5" t="str">
        <f t="shared" si="27"/>
        <v>Aug</v>
      </c>
      <c r="E79" s="8" t="s">
        <v>23</v>
      </c>
      <c r="F79" s="13" t="s">
        <v>594</v>
      </c>
      <c r="G79" s="12">
        <v>3403</v>
      </c>
      <c r="H79" s="11" t="str">
        <f>IF(G79="","",VLOOKUP(G79,'MASTER DATA'!C:D,2,FALSE ))</f>
        <v>Vishal Patidar</v>
      </c>
      <c r="I79" s="10" t="str">
        <f>IF(G79="","",VLOOKUP(G79,'MASTER DATA'!C:F,4,FALSE ))</f>
        <v>Sawan Parmar</v>
      </c>
      <c r="J79" s="10">
        <f>IF(G79="","",VLOOKUP(G79,'MASTER DATA'!C:J,8,FALSE))</f>
        <v>3265</v>
      </c>
      <c r="K79" s="10" t="str">
        <f>IF(I79="","",VLOOKUP(I79,'MASTER DATA'!F:G,2,FALSE ))</f>
        <v>Ankur Khole</v>
      </c>
      <c r="L79" s="10">
        <f>IF(K79="","",VLOOKUP(K79,'MASTER DATA'!G:K,5,FALSE))</f>
        <v>3052</v>
      </c>
      <c r="M79" s="10" t="str">
        <f>IF(G79="","",VLOOKUP(G79,'MASTER DATA'!C:L,10,0))</f>
        <v>Ranjan Somani</v>
      </c>
      <c r="N79" s="5" t="str">
        <f>VLOOKUP(G79,'MASTER DATA'!C:I,7,0)</f>
        <v>Manoj Chauhan</v>
      </c>
      <c r="O79" s="5"/>
      <c r="P79" s="5" t="str">
        <f t="shared" si="28"/>
        <v/>
      </c>
      <c r="Q79" s="7"/>
      <c r="R79" s="9"/>
      <c r="S79" s="8" t="s">
        <v>0</v>
      </c>
      <c r="T79" s="8">
        <v>900000</v>
      </c>
      <c r="U79" s="7"/>
      <c r="V79" s="5"/>
      <c r="W79" s="7"/>
      <c r="X79" s="5" t="str">
        <f t="shared" si="29"/>
        <v/>
      </c>
      <c r="Y79" s="7"/>
      <c r="Z79" s="7"/>
      <c r="AA79" s="5" t="str">
        <f t="shared" si="26"/>
        <v/>
      </c>
      <c r="AB79" s="7"/>
      <c r="AC79" s="7"/>
      <c r="AD79" s="5"/>
      <c r="AE79" s="7"/>
      <c r="AF79" s="6"/>
      <c r="AG79" s="5"/>
      <c r="AH79" s="5" t="str">
        <f t="shared" si="23"/>
        <v>-</v>
      </c>
      <c r="AI79" s="5" t="str">
        <f t="shared" si="24"/>
        <v>-</v>
      </c>
      <c r="AJ79" s="5" t="str">
        <f t="shared" si="25"/>
        <v>-</v>
      </c>
    </row>
    <row r="80" spans="1:36" x14ac:dyDescent="0.25">
      <c r="A80" s="5">
        <v>79</v>
      </c>
      <c r="B80" s="130">
        <v>9739</v>
      </c>
      <c r="C80" s="14">
        <v>45511</v>
      </c>
      <c r="D80" s="5" t="str">
        <f t="shared" si="27"/>
        <v>Aug</v>
      </c>
      <c r="E80" s="8" t="s">
        <v>10</v>
      </c>
      <c r="F80" s="13" t="s">
        <v>631</v>
      </c>
      <c r="G80" s="12">
        <v>3146</v>
      </c>
      <c r="H80" s="11" t="str">
        <f>IF(G80="","",VLOOKUP(G80,'MASTER DATA'!C:D,2,FALSE ))</f>
        <v>Pankaj Dhanak</v>
      </c>
      <c r="I80" s="10" t="str">
        <f>IF(G80="","",VLOOKUP(G80,'MASTER DATA'!C:F,4,FALSE ))</f>
        <v>Rajesh Varma</v>
      </c>
      <c r="J80" s="10">
        <f>IF(G80="","",VLOOKUP(G80,'MASTER DATA'!C:J,8,FALSE))</f>
        <v>1962</v>
      </c>
      <c r="K80" s="10" t="str">
        <f>IF(I80="","",VLOOKUP(I80,'MASTER DATA'!F:G,2,FALSE ))</f>
        <v>TBI (Ratlam)</v>
      </c>
      <c r="L80" s="10" t="str">
        <f>IF(K80="","",VLOOKUP(K80,'MASTER DATA'!G:K,5,FALSE))</f>
        <v>TBI (Ratlam)</v>
      </c>
      <c r="M80" s="10" t="str">
        <f>IF(G80="","",VLOOKUP(G80,'MASTER DATA'!C:L,10,0))</f>
        <v>Ranjan Somani</v>
      </c>
      <c r="N80" s="5" t="str">
        <f>VLOOKUP(G80,'MASTER DATA'!C:I,7,0)</f>
        <v>Manoj Chauhan</v>
      </c>
      <c r="O80" s="5"/>
      <c r="P80" s="5" t="str">
        <f t="shared" si="28"/>
        <v/>
      </c>
      <c r="Q80" s="7"/>
      <c r="R80" s="9"/>
      <c r="S80" s="8" t="s">
        <v>0</v>
      </c>
      <c r="T80" s="8">
        <v>900000</v>
      </c>
      <c r="U80" s="7"/>
      <c r="V80" s="5"/>
      <c r="W80" s="7"/>
      <c r="X80" s="5" t="str">
        <f t="shared" si="29"/>
        <v/>
      </c>
      <c r="Y80" s="7"/>
      <c r="Z80" s="7"/>
      <c r="AA80" s="5" t="str">
        <f t="shared" si="26"/>
        <v/>
      </c>
      <c r="AB80" s="7"/>
      <c r="AC80" s="7"/>
      <c r="AD80" s="5"/>
      <c r="AE80" s="7"/>
      <c r="AF80" s="6"/>
      <c r="AG80" s="5"/>
      <c r="AH80" s="5" t="str">
        <f t="shared" si="23"/>
        <v>-</v>
      </c>
      <c r="AI80" s="5" t="str">
        <f t="shared" si="24"/>
        <v>-</v>
      </c>
      <c r="AJ80" s="5" t="str">
        <f t="shared" si="25"/>
        <v>-</v>
      </c>
    </row>
    <row r="81" spans="1:36" x14ac:dyDescent="0.25">
      <c r="A81" s="5">
        <v>80</v>
      </c>
      <c r="B81" s="130">
        <v>9718</v>
      </c>
      <c r="C81" s="14">
        <v>45511</v>
      </c>
      <c r="D81" s="5" t="str">
        <f t="shared" si="27"/>
        <v>Aug</v>
      </c>
      <c r="E81" s="8" t="s">
        <v>68</v>
      </c>
      <c r="F81" s="13" t="s">
        <v>632</v>
      </c>
      <c r="G81" s="12">
        <v>3394</v>
      </c>
      <c r="H81" s="11" t="str">
        <f>IF(G81="","",VLOOKUP(G81,'MASTER DATA'!C:D,2,FALSE ))</f>
        <v>Dharmpal Famda</v>
      </c>
      <c r="I81" s="10" t="str">
        <f>IF(G81="","",VLOOKUP(G81,'MASTER DATA'!C:F,4,FALSE ))</f>
        <v>Surendra Kumar Gurjar</v>
      </c>
      <c r="J81" s="10">
        <f>IF(G81="","",VLOOKUP(G81,'MASTER DATA'!C:J,8,FALSE))</f>
        <v>3120</v>
      </c>
      <c r="K81" s="10" t="str">
        <f>IF(I81="","",VLOOKUP(I81,'MASTER DATA'!F:G,2,FALSE ))</f>
        <v>Deepak Sharma</v>
      </c>
      <c r="L81" s="10">
        <f>IF(K81="","",VLOOKUP(K81,'MASTER DATA'!G:K,5,FALSE))</f>
        <v>1449</v>
      </c>
      <c r="M81" s="10" t="str">
        <f>IF(G81="","",VLOOKUP(G81,'MASTER DATA'!C:L,10,0))</f>
        <v>Pawan Khandelwal</v>
      </c>
      <c r="N81" s="5" t="str">
        <f>VLOOKUP(G81,'MASTER DATA'!C:I,7,0)</f>
        <v>Ajay Gupta</v>
      </c>
      <c r="O81" s="5" t="s">
        <v>42</v>
      </c>
      <c r="P81" s="5" t="str">
        <f t="shared" si="28"/>
        <v>Done</v>
      </c>
      <c r="Q81" s="7">
        <v>45512</v>
      </c>
      <c r="R81" s="9"/>
      <c r="S81" s="8" t="s">
        <v>7</v>
      </c>
      <c r="T81" s="8">
        <v>700000</v>
      </c>
      <c r="U81" s="7"/>
      <c r="V81" s="5"/>
      <c r="W81" s="7"/>
      <c r="X81" s="5" t="str">
        <f t="shared" si="29"/>
        <v/>
      </c>
      <c r="Y81" s="7"/>
      <c r="Z81" s="7"/>
      <c r="AA81" s="5" t="str">
        <f t="shared" si="26"/>
        <v/>
      </c>
      <c r="AB81" s="7"/>
      <c r="AC81" s="7"/>
      <c r="AD81" s="5"/>
      <c r="AE81" s="7"/>
      <c r="AF81" s="6"/>
      <c r="AG81" s="5"/>
      <c r="AH81" s="5">
        <f t="shared" si="23"/>
        <v>1</v>
      </c>
      <c r="AI81" s="5" t="str">
        <f t="shared" si="24"/>
        <v>-</v>
      </c>
      <c r="AJ81" s="5" t="str">
        <f t="shared" si="25"/>
        <v>-</v>
      </c>
    </row>
    <row r="82" spans="1:36" x14ac:dyDescent="0.25">
      <c r="A82" s="5">
        <v>81</v>
      </c>
      <c r="B82" s="130">
        <v>9760</v>
      </c>
      <c r="C82" s="14">
        <v>45511</v>
      </c>
      <c r="D82" s="5" t="str">
        <f t="shared" si="27"/>
        <v>Aug</v>
      </c>
      <c r="E82" s="8" t="s">
        <v>82</v>
      </c>
      <c r="F82" s="13" t="s">
        <v>633</v>
      </c>
      <c r="G82" s="12">
        <v>1739</v>
      </c>
      <c r="H82" s="11" t="str">
        <f>IF(G82="","",VLOOKUP(G82,'MASTER DATA'!C:D,2,FALSE ))</f>
        <v>Hagami lal Jat</v>
      </c>
      <c r="I82" s="10" t="str">
        <f>IF(G82="","",VLOOKUP(G82,'MASTER DATA'!C:F,4,FALSE ))</f>
        <v>Hagami lal Jat</v>
      </c>
      <c r="J82" s="10">
        <f>IF(G82="","",VLOOKUP(G82,'MASTER DATA'!C:J,8,FALSE))</f>
        <v>1739</v>
      </c>
      <c r="K82" s="10" t="str">
        <f>IF(I82="","",VLOOKUP(I82,'MASTER DATA'!F:G,2,FALSE ))</f>
        <v>Bhilwara Cluster</v>
      </c>
      <c r="L82" s="10" t="str">
        <f>IF(K82="","",VLOOKUP(K82,'MASTER DATA'!G:K,5,FALSE))</f>
        <v>Bhilwara Cluster</v>
      </c>
      <c r="M82" s="10" t="str">
        <f>IF(G82="","",VLOOKUP(G82,'MASTER DATA'!C:L,10,0))</f>
        <v>Pawan Khandelwal</v>
      </c>
      <c r="N82" s="5" t="str">
        <f>VLOOKUP(G82,'MASTER DATA'!C:I,7,0)</f>
        <v>Sunil Bagoria</v>
      </c>
      <c r="O82" s="5" t="s">
        <v>15</v>
      </c>
      <c r="P82" s="5" t="str">
        <f t="shared" si="28"/>
        <v>Done</v>
      </c>
      <c r="Q82" s="7">
        <v>45512</v>
      </c>
      <c r="R82" s="9"/>
      <c r="S82" s="8" t="s">
        <v>7</v>
      </c>
      <c r="T82" s="8">
        <v>300000</v>
      </c>
      <c r="U82" s="7"/>
      <c r="V82" s="5"/>
      <c r="W82" s="7"/>
      <c r="X82" s="5" t="str">
        <f t="shared" si="29"/>
        <v/>
      </c>
      <c r="Y82" s="7"/>
      <c r="Z82" s="7"/>
      <c r="AA82" s="5" t="str">
        <f t="shared" si="26"/>
        <v/>
      </c>
      <c r="AB82" s="7"/>
      <c r="AC82" s="7"/>
      <c r="AD82" s="5"/>
      <c r="AE82" s="7"/>
      <c r="AF82" s="6"/>
      <c r="AG82" s="5"/>
      <c r="AH82" s="5">
        <f t="shared" si="23"/>
        <v>1</v>
      </c>
      <c r="AI82" s="5" t="str">
        <f t="shared" si="24"/>
        <v>-</v>
      </c>
      <c r="AJ82" s="5" t="str">
        <f t="shared" si="25"/>
        <v>-</v>
      </c>
    </row>
    <row r="83" spans="1:36" x14ac:dyDescent="0.25">
      <c r="A83" s="5">
        <v>82</v>
      </c>
      <c r="B83" s="130">
        <v>9701</v>
      </c>
      <c r="C83" s="14">
        <v>45512</v>
      </c>
      <c r="D83" s="5" t="str">
        <f t="shared" si="27"/>
        <v>Aug</v>
      </c>
      <c r="E83" s="8" t="s">
        <v>9</v>
      </c>
      <c r="F83" s="13" t="s">
        <v>634</v>
      </c>
      <c r="G83" s="12">
        <v>3264</v>
      </c>
      <c r="H83" s="11" t="str">
        <f>IF(G83="","",VLOOKUP(G83,'MASTER DATA'!C:D,2,FALSE ))</f>
        <v>Gajendra Kumar</v>
      </c>
      <c r="I83" s="10" t="str">
        <f>IF(G83="","",VLOOKUP(G83,'MASTER DATA'!C:F,4,FALSE ))</f>
        <v>Tarun Kumar</v>
      </c>
      <c r="J83" s="10">
        <f>IF(G83="","",VLOOKUP(G83,'MASTER DATA'!C:J,8,FALSE))</f>
        <v>3275</v>
      </c>
      <c r="K83" s="10" t="str">
        <f>IF(I83="","",VLOOKUP(I83,'MASTER DATA'!F:G,2,FALSE ))</f>
        <v>Gurdeep Singh</v>
      </c>
      <c r="L83" s="10">
        <f>IF(K83="","",VLOOKUP(K83,'MASTER DATA'!G:K,5,FALSE))</f>
        <v>3256</v>
      </c>
      <c r="M83" s="10" t="str">
        <f>IF(G83="","",VLOOKUP(G83,'MASTER DATA'!C:L,10,0))</f>
        <v>Mayur Luhadia</v>
      </c>
      <c r="N83" s="5" t="str">
        <f>VLOOKUP(G83,'MASTER DATA'!C:I,7,0)</f>
        <v>Mohan Shankar Sharma</v>
      </c>
      <c r="O83" s="5"/>
      <c r="P83" s="5" t="str">
        <f t="shared" ref="P83" si="30">IF(O83="","","Done")</f>
        <v/>
      </c>
      <c r="Q83" s="7"/>
      <c r="R83" s="9"/>
      <c r="S83" s="8" t="s">
        <v>0</v>
      </c>
      <c r="T83" s="8">
        <v>400000</v>
      </c>
      <c r="U83" s="7"/>
      <c r="V83" s="5"/>
      <c r="W83" s="7"/>
      <c r="X83" s="5" t="str">
        <f t="shared" ref="X83" si="31">IF(W83="","",TEXT(W83,"mmm"))</f>
        <v/>
      </c>
      <c r="Y83" s="7"/>
      <c r="Z83" s="7"/>
      <c r="AA83" s="5" t="str">
        <f t="shared" si="26"/>
        <v/>
      </c>
      <c r="AB83" s="7"/>
      <c r="AC83" s="7"/>
      <c r="AD83" s="5"/>
      <c r="AE83" s="7"/>
      <c r="AF83" s="6"/>
      <c r="AG83" s="5"/>
      <c r="AH83" s="5" t="str">
        <f t="shared" si="23"/>
        <v>-</v>
      </c>
      <c r="AI83" s="5" t="str">
        <f t="shared" si="24"/>
        <v>-</v>
      </c>
      <c r="AJ83" s="5" t="str">
        <f t="shared" si="25"/>
        <v>-</v>
      </c>
    </row>
    <row r="84" spans="1:36" x14ac:dyDescent="0.25">
      <c r="A84" s="5">
        <v>83</v>
      </c>
      <c r="B84" s="130">
        <v>9777</v>
      </c>
      <c r="C84" s="14">
        <v>45512</v>
      </c>
      <c r="D84" s="5" t="str">
        <f t="shared" ref="D84:D94" si="32">IF(C84="","",TEXT(C84,"mmm"))</f>
        <v>Aug</v>
      </c>
      <c r="E84" s="8" t="s">
        <v>8</v>
      </c>
      <c r="F84" s="13" t="s">
        <v>640</v>
      </c>
      <c r="G84" s="12">
        <v>1976</v>
      </c>
      <c r="H84" s="11" t="str">
        <f>IF(G84="","",VLOOKUP(G84,'MASTER DATA'!C:D,2,FALSE ))</f>
        <v>Gyarsi Lal</v>
      </c>
      <c r="I84" s="10" t="str">
        <f>IF(G84="","",VLOOKUP(G84,'MASTER DATA'!C:F,4,FALSE ))</f>
        <v>Shivram Sharma</v>
      </c>
      <c r="J84" s="10">
        <f>IF(G84="","",VLOOKUP(G84,'MASTER DATA'!C:J,8,FALSE))</f>
        <v>1885</v>
      </c>
      <c r="K84" s="10" t="str">
        <f>IF(I84="","",VLOOKUP(I84,'MASTER DATA'!F:G,2,FALSE ))</f>
        <v>Kamlesh Sharma</v>
      </c>
      <c r="L84" s="10">
        <f>IF(K84="","",VLOOKUP(K84,'MASTER DATA'!G:K,5,FALSE))</f>
        <v>1140</v>
      </c>
      <c r="M84" s="10" t="str">
        <f>IF(G84="","",VLOOKUP(G84,'MASTER DATA'!C:L,10,0))</f>
        <v>Pawan Khandelwal</v>
      </c>
      <c r="N84" s="5" t="str">
        <f>VLOOKUP(G84,'MASTER DATA'!C:I,7,0)</f>
        <v>Sanjay Arya</v>
      </c>
      <c r="O84" s="5"/>
      <c r="P84" s="5" t="str">
        <f t="shared" ref="P84:P94" si="33">IF(O84="","","Done")</f>
        <v/>
      </c>
      <c r="Q84" s="7"/>
      <c r="R84" s="9"/>
      <c r="S84" s="8" t="s">
        <v>0</v>
      </c>
      <c r="T84" s="8">
        <v>700000</v>
      </c>
      <c r="U84" s="7"/>
      <c r="V84" s="5"/>
      <c r="W84" s="7"/>
      <c r="X84" s="5" t="str">
        <f t="shared" ref="X84:X94" si="34">IF(W84="","",TEXT(W84,"mmm"))</f>
        <v/>
      </c>
      <c r="Y84" s="7"/>
      <c r="Z84" s="7"/>
      <c r="AA84" s="5" t="str">
        <f t="shared" si="26"/>
        <v/>
      </c>
      <c r="AB84" s="7"/>
      <c r="AC84" s="7"/>
      <c r="AD84" s="5"/>
      <c r="AE84" s="7"/>
      <c r="AF84" s="6"/>
      <c r="AG84" s="5"/>
      <c r="AH84" s="5" t="str">
        <f t="shared" si="23"/>
        <v>-</v>
      </c>
      <c r="AI84" s="5" t="str">
        <f t="shared" si="24"/>
        <v>-</v>
      </c>
      <c r="AJ84" s="5" t="str">
        <f t="shared" si="25"/>
        <v>-</v>
      </c>
    </row>
    <row r="85" spans="1:36" x14ac:dyDescent="0.25">
      <c r="A85" s="5">
        <v>84</v>
      </c>
      <c r="B85" s="130">
        <v>9763</v>
      </c>
      <c r="C85" s="14">
        <v>45512</v>
      </c>
      <c r="D85" s="5" t="str">
        <f t="shared" si="32"/>
        <v>Aug</v>
      </c>
      <c r="E85" s="8" t="s">
        <v>17</v>
      </c>
      <c r="F85" s="13" t="s">
        <v>641</v>
      </c>
      <c r="G85" s="12">
        <v>3442</v>
      </c>
      <c r="H85" s="11" t="str">
        <f>IF(G85="","",VLOOKUP(G85,'MASTER DATA'!C:D,2,FALSE ))</f>
        <v>Anil Malakar</v>
      </c>
      <c r="I85" s="10" t="str">
        <f>IF(G85="","",VLOOKUP(G85,'MASTER DATA'!C:F,4,FALSE ))</f>
        <v>Shyam Soni</v>
      </c>
      <c r="J85" s="10">
        <f>IF(G85="","",VLOOKUP(G85,'MASTER DATA'!C:J,8,FALSE))</f>
        <v>3198</v>
      </c>
      <c r="K85" s="10" t="str">
        <f>IF(I85="","",VLOOKUP(I85,'MASTER DATA'!F:G,2,FALSE ))</f>
        <v>Ankur Khole</v>
      </c>
      <c r="L85" s="10">
        <f>IF(K85="","",VLOOKUP(K85,'MASTER DATA'!G:K,5,FALSE))</f>
        <v>3052</v>
      </c>
      <c r="M85" s="10" t="str">
        <f>IF(G85="","",VLOOKUP(G85,'MASTER DATA'!C:L,10,0))</f>
        <v>Ranjan Somani</v>
      </c>
      <c r="N85" s="5" t="str">
        <f>VLOOKUP(G85,'MASTER DATA'!C:I,7,0)</f>
        <v>Manoj Chauhan</v>
      </c>
      <c r="O85" s="5"/>
      <c r="P85" s="5" t="str">
        <f t="shared" si="33"/>
        <v/>
      </c>
      <c r="Q85" s="7"/>
      <c r="R85" s="9"/>
      <c r="S85" s="8" t="s">
        <v>0</v>
      </c>
      <c r="T85" s="8">
        <v>900000</v>
      </c>
      <c r="U85" s="7"/>
      <c r="V85" s="5"/>
      <c r="W85" s="7"/>
      <c r="X85" s="5" t="str">
        <f t="shared" si="34"/>
        <v/>
      </c>
      <c r="Y85" s="7"/>
      <c r="Z85" s="7"/>
      <c r="AA85" s="5" t="str">
        <f t="shared" si="26"/>
        <v/>
      </c>
      <c r="AB85" s="7"/>
      <c r="AC85" s="7"/>
      <c r="AD85" s="5"/>
      <c r="AE85" s="7"/>
      <c r="AF85" s="6"/>
      <c r="AG85" s="5"/>
      <c r="AH85" s="5" t="str">
        <f t="shared" si="23"/>
        <v>-</v>
      </c>
      <c r="AI85" s="5" t="str">
        <f t="shared" si="24"/>
        <v>-</v>
      </c>
      <c r="AJ85" s="5" t="str">
        <f t="shared" si="25"/>
        <v>-</v>
      </c>
    </row>
    <row r="86" spans="1:36" x14ac:dyDescent="0.25">
      <c r="A86" s="5">
        <v>85</v>
      </c>
      <c r="B86" s="130">
        <v>9616</v>
      </c>
      <c r="C86" s="14">
        <v>45512</v>
      </c>
      <c r="D86" s="5" t="str">
        <f t="shared" si="32"/>
        <v>Aug</v>
      </c>
      <c r="E86" s="8" t="s">
        <v>13</v>
      </c>
      <c r="F86" s="13" t="s">
        <v>642</v>
      </c>
      <c r="G86" s="12">
        <v>3178</v>
      </c>
      <c r="H86" s="11" t="str">
        <f>IF(G86="","",VLOOKUP(G86,'MASTER DATA'!C:D,2,FALSE ))</f>
        <v>Akash Chouhan</v>
      </c>
      <c r="I86" s="10" t="str">
        <f>IF(G86="","",VLOOKUP(G86,'MASTER DATA'!C:F,4,FALSE ))</f>
        <v>Ankur Khole</v>
      </c>
      <c r="J86" s="10">
        <f>IF(G86="","",VLOOKUP(G86,'MASTER DATA'!C:J,8,FALSE))</f>
        <v>3052</v>
      </c>
      <c r="K86" s="10" t="str">
        <f>IF(I86="","",VLOOKUP(I86,'MASTER DATA'!F:G,2,FALSE ))</f>
        <v>Ankur Khole</v>
      </c>
      <c r="L86" s="10">
        <f>IF(K86="","",VLOOKUP(K86,'MASTER DATA'!G:K,5,FALSE))</f>
        <v>3052</v>
      </c>
      <c r="M86" s="10" t="str">
        <f>IF(G86="","",VLOOKUP(G86,'MASTER DATA'!C:L,10,0))</f>
        <v>Ranjan Somani</v>
      </c>
      <c r="N86" s="5" t="str">
        <f>VLOOKUP(G86,'MASTER DATA'!C:I,7,0)</f>
        <v>Manoj Chauhan</v>
      </c>
      <c r="O86" s="5"/>
      <c r="P86" s="5" t="str">
        <f t="shared" si="33"/>
        <v/>
      </c>
      <c r="Q86" s="7"/>
      <c r="R86" s="9"/>
      <c r="S86" s="8" t="s">
        <v>0</v>
      </c>
      <c r="T86" s="8">
        <v>800000</v>
      </c>
      <c r="U86" s="7"/>
      <c r="V86" s="5"/>
      <c r="W86" s="7"/>
      <c r="X86" s="5" t="str">
        <f t="shared" si="34"/>
        <v/>
      </c>
      <c r="Y86" s="7"/>
      <c r="Z86" s="7"/>
      <c r="AA86" s="5" t="str">
        <f t="shared" si="26"/>
        <v/>
      </c>
      <c r="AB86" s="7"/>
      <c r="AC86" s="7"/>
      <c r="AD86" s="5"/>
      <c r="AE86" s="7"/>
      <c r="AF86" s="6"/>
      <c r="AG86" s="5"/>
      <c r="AH86" s="5" t="str">
        <f t="shared" si="23"/>
        <v>-</v>
      </c>
      <c r="AI86" s="5" t="str">
        <f t="shared" si="24"/>
        <v>-</v>
      </c>
      <c r="AJ86" s="5" t="str">
        <f t="shared" si="25"/>
        <v>-</v>
      </c>
    </row>
    <row r="87" spans="1:36" x14ac:dyDescent="0.25">
      <c r="A87" s="5">
        <v>86</v>
      </c>
      <c r="B87" s="130">
        <v>9782</v>
      </c>
      <c r="C87" s="14">
        <v>45512</v>
      </c>
      <c r="D87" s="5" t="str">
        <f t="shared" si="32"/>
        <v>Aug</v>
      </c>
      <c r="E87" s="8" t="s">
        <v>12</v>
      </c>
      <c r="F87" s="13" t="s">
        <v>643</v>
      </c>
      <c r="G87" s="12">
        <v>1691</v>
      </c>
      <c r="H87" s="11" t="str">
        <f>IF(G87="","",VLOOKUP(G87,'MASTER DATA'!C:D,2,FALSE ))</f>
        <v>Dharmveer Choudhary</v>
      </c>
      <c r="I87" s="10" t="str">
        <f>IF(G87="","",VLOOKUP(G87,'MASTER DATA'!C:F,4,FALSE ))</f>
        <v>Ram Niwas Jat</v>
      </c>
      <c r="J87" s="10">
        <f>IF(G87="","",VLOOKUP(G87,'MASTER DATA'!C:J,8,FALSE))</f>
        <v>1519</v>
      </c>
      <c r="K87" s="10" t="str">
        <f>IF(I87="","",VLOOKUP(I87,'MASTER DATA'!F:G,2,FALSE ))</f>
        <v>Vijay Yadav</v>
      </c>
      <c r="L87" s="10">
        <f>IF(K87="","",VLOOKUP(K87,'MASTER DATA'!G:K,5,FALSE))</f>
        <v>1463</v>
      </c>
      <c r="M87" s="10" t="str">
        <f>IF(G87="","",VLOOKUP(G87,'MASTER DATA'!C:L,10,0))</f>
        <v>Mayur Luhadia</v>
      </c>
      <c r="N87" s="5" t="str">
        <f>VLOOKUP(G87,'MASTER DATA'!C:I,7,0)</f>
        <v>Ajay Gupta</v>
      </c>
      <c r="O87" s="5"/>
      <c r="P87" s="5" t="str">
        <f t="shared" si="33"/>
        <v/>
      </c>
      <c r="Q87" s="7"/>
      <c r="R87" s="9"/>
      <c r="S87" s="8" t="s">
        <v>0</v>
      </c>
      <c r="T87" s="8">
        <v>700000</v>
      </c>
      <c r="U87" s="7"/>
      <c r="V87" s="5"/>
      <c r="W87" s="7"/>
      <c r="X87" s="5" t="str">
        <f t="shared" si="34"/>
        <v/>
      </c>
      <c r="Y87" s="7"/>
      <c r="Z87" s="7"/>
      <c r="AA87" s="5" t="str">
        <f t="shared" si="26"/>
        <v/>
      </c>
      <c r="AB87" s="7"/>
      <c r="AC87" s="7"/>
      <c r="AD87" s="5"/>
      <c r="AE87" s="7"/>
      <c r="AF87" s="6"/>
      <c r="AG87" s="5"/>
      <c r="AH87" s="5" t="str">
        <f t="shared" si="23"/>
        <v>-</v>
      </c>
      <c r="AI87" s="5" t="str">
        <f t="shared" si="24"/>
        <v>-</v>
      </c>
      <c r="AJ87" s="5" t="str">
        <f t="shared" si="25"/>
        <v>-</v>
      </c>
    </row>
    <row r="88" spans="1:36" x14ac:dyDescent="0.25">
      <c r="A88" s="5">
        <v>87</v>
      </c>
      <c r="B88" s="130">
        <v>9693</v>
      </c>
      <c r="C88" s="14">
        <v>45512</v>
      </c>
      <c r="D88" s="5" t="str">
        <f t="shared" si="32"/>
        <v>Aug</v>
      </c>
      <c r="E88" s="8" t="s">
        <v>79</v>
      </c>
      <c r="F88" s="13" t="s">
        <v>644</v>
      </c>
      <c r="G88" s="12">
        <v>3395</v>
      </c>
      <c r="H88" s="11" t="str">
        <f>IF(G88="","",VLOOKUP(G88,'MASTER DATA'!C:D,2,FALSE ))</f>
        <v>Gajendra Kumar</v>
      </c>
      <c r="I88" s="10" t="str">
        <f>IF(G88="","",VLOOKUP(G88,'MASTER DATA'!C:F,4,FALSE ))</f>
        <v>Vanshraj Gurjar</v>
      </c>
      <c r="J88" s="10">
        <f>IF(G88="","",VLOOKUP(G88,'MASTER DATA'!C:J,8,FALSE))</f>
        <v>3426</v>
      </c>
      <c r="K88" s="10" t="str">
        <f>IF(I88="","",VLOOKUP(I88,'MASTER DATA'!F:G,2,FALSE ))</f>
        <v>Kamlesh Sharma</v>
      </c>
      <c r="L88" s="10">
        <f>IF(K88="","",VLOOKUP(K88,'MASTER DATA'!G:K,5,FALSE))</f>
        <v>1140</v>
      </c>
      <c r="M88" s="10" t="str">
        <f>IF(G88="","",VLOOKUP(G88,'MASTER DATA'!C:L,10,0))</f>
        <v>Pawan Khandelwal</v>
      </c>
      <c r="N88" s="5" t="str">
        <f>VLOOKUP(G88,'MASTER DATA'!C:I,7,0)</f>
        <v>Sanjay Arya</v>
      </c>
      <c r="O88" s="5"/>
      <c r="P88" s="5" t="str">
        <f t="shared" si="33"/>
        <v/>
      </c>
      <c r="Q88" s="7"/>
      <c r="R88" s="9"/>
      <c r="S88" s="8" t="s">
        <v>0</v>
      </c>
      <c r="T88" s="8">
        <v>900000</v>
      </c>
      <c r="U88" s="7"/>
      <c r="V88" s="5"/>
      <c r="W88" s="7"/>
      <c r="X88" s="5" t="str">
        <f t="shared" si="34"/>
        <v/>
      </c>
      <c r="Y88" s="7"/>
      <c r="Z88" s="7"/>
      <c r="AA88" s="5" t="str">
        <f t="shared" si="26"/>
        <v/>
      </c>
      <c r="AB88" s="7"/>
      <c r="AC88" s="7"/>
      <c r="AD88" s="5"/>
      <c r="AE88" s="7"/>
      <c r="AF88" s="6"/>
      <c r="AG88" s="5"/>
      <c r="AH88" s="5" t="str">
        <f t="shared" si="23"/>
        <v>-</v>
      </c>
      <c r="AI88" s="5" t="str">
        <f t="shared" si="24"/>
        <v>-</v>
      </c>
      <c r="AJ88" s="5" t="str">
        <f t="shared" si="25"/>
        <v>-</v>
      </c>
    </row>
    <row r="89" spans="1:36" x14ac:dyDescent="0.25">
      <c r="A89" s="5">
        <v>88</v>
      </c>
      <c r="B89" s="130">
        <v>9593</v>
      </c>
      <c r="C89" s="14">
        <v>45512</v>
      </c>
      <c r="D89" s="5" t="str">
        <f t="shared" si="32"/>
        <v>Aug</v>
      </c>
      <c r="E89" s="8" t="s">
        <v>10</v>
      </c>
      <c r="F89" s="13" t="s">
        <v>645</v>
      </c>
      <c r="G89" s="12">
        <v>3191</v>
      </c>
      <c r="H89" s="11" t="str">
        <f>IF(G89="","",VLOOKUP(G89,'MASTER DATA'!C:D,2,FALSE ))</f>
        <v>Yatindra Upadhyay</v>
      </c>
      <c r="I89" s="10" t="str">
        <f>IF(G89="","",VLOOKUP(G89,'MASTER DATA'!C:F,4,FALSE ))</f>
        <v>Rajesh Varma</v>
      </c>
      <c r="J89" s="10">
        <f>IF(G89="","",VLOOKUP(G89,'MASTER DATA'!C:J,8,FALSE))</f>
        <v>1962</v>
      </c>
      <c r="K89" s="10" t="str">
        <f>IF(I89="","",VLOOKUP(I89,'MASTER DATA'!F:G,2,FALSE ))</f>
        <v>TBI (Ratlam)</v>
      </c>
      <c r="L89" s="10" t="str">
        <f>IF(K89="","",VLOOKUP(K89,'MASTER DATA'!G:K,5,FALSE))</f>
        <v>TBI (Ratlam)</v>
      </c>
      <c r="M89" s="10" t="str">
        <f>IF(G89="","",VLOOKUP(G89,'MASTER DATA'!C:L,10,0))</f>
        <v>Ranjan Somani</v>
      </c>
      <c r="N89" s="5" t="str">
        <f>VLOOKUP(G89,'MASTER DATA'!C:I,7,0)</f>
        <v>Manoj Chauhan</v>
      </c>
      <c r="O89" s="5"/>
      <c r="P89" s="5" t="str">
        <f t="shared" si="33"/>
        <v/>
      </c>
      <c r="Q89" s="7"/>
      <c r="R89" s="9"/>
      <c r="S89" s="8" t="s">
        <v>0</v>
      </c>
      <c r="T89" s="8">
        <v>990000</v>
      </c>
      <c r="U89" s="7"/>
      <c r="V89" s="5"/>
      <c r="W89" s="7"/>
      <c r="X89" s="5" t="str">
        <f t="shared" si="34"/>
        <v/>
      </c>
      <c r="Y89" s="7"/>
      <c r="Z89" s="7"/>
      <c r="AA89" s="5" t="str">
        <f t="shared" si="26"/>
        <v/>
      </c>
      <c r="AB89" s="7"/>
      <c r="AC89" s="7"/>
      <c r="AD89" s="5"/>
      <c r="AE89" s="7"/>
      <c r="AF89" s="6"/>
      <c r="AG89" s="5"/>
      <c r="AH89" s="5" t="str">
        <f t="shared" si="23"/>
        <v>-</v>
      </c>
      <c r="AI89" s="5" t="str">
        <f t="shared" si="24"/>
        <v>-</v>
      </c>
      <c r="AJ89" s="5" t="str">
        <f t="shared" si="25"/>
        <v>-</v>
      </c>
    </row>
    <row r="90" spans="1:36" x14ac:dyDescent="0.25">
      <c r="A90" s="5">
        <v>89</v>
      </c>
      <c r="B90" s="130">
        <v>9768</v>
      </c>
      <c r="C90" s="14">
        <v>45512</v>
      </c>
      <c r="D90" s="5" t="str">
        <f t="shared" si="32"/>
        <v>Aug</v>
      </c>
      <c r="E90" s="8" t="s">
        <v>67</v>
      </c>
      <c r="F90" s="13" t="s">
        <v>646</v>
      </c>
      <c r="G90" s="12">
        <v>3143</v>
      </c>
      <c r="H90" s="11" t="str">
        <f>IF(G90="","",VLOOKUP(G90,'MASTER DATA'!C:D,2,FALSE ))</f>
        <v>Bhagwant Singh</v>
      </c>
      <c r="I90" s="10" t="str">
        <f>IF(G90="","",VLOOKUP(G90,'MASTER DATA'!C:F,4,FALSE ))</f>
        <v>Tarsem Singh</v>
      </c>
      <c r="J90" s="10">
        <f>IF(G90="","",VLOOKUP(G90,'MASTER DATA'!C:J,8,FALSE))</f>
        <v>3132</v>
      </c>
      <c r="K90" s="10" t="str">
        <f>IF(I90="","",VLOOKUP(I90,'MASTER DATA'!F:G,2,FALSE ))</f>
        <v>Gurdeep Singh</v>
      </c>
      <c r="L90" s="10">
        <f>IF(K90="","",VLOOKUP(K90,'MASTER DATA'!G:K,5,FALSE))</f>
        <v>3256</v>
      </c>
      <c r="M90" s="10" t="str">
        <f>IF(G90="","",VLOOKUP(G90,'MASTER DATA'!C:L,10,0))</f>
        <v>Mayur Luhadia</v>
      </c>
      <c r="N90" s="5" t="str">
        <f>VLOOKUP(G90,'MASTER DATA'!C:I,7,0)</f>
        <v>Mohan Shankar Sharma</v>
      </c>
      <c r="O90" s="5"/>
      <c r="P90" s="5" t="str">
        <f t="shared" si="33"/>
        <v/>
      </c>
      <c r="Q90" s="7"/>
      <c r="R90" s="9"/>
      <c r="S90" s="8" t="s">
        <v>0</v>
      </c>
      <c r="T90" s="8">
        <v>400000</v>
      </c>
      <c r="U90" s="7"/>
      <c r="V90" s="5"/>
      <c r="W90" s="7"/>
      <c r="X90" s="5" t="str">
        <f t="shared" si="34"/>
        <v/>
      </c>
      <c r="Y90" s="7"/>
      <c r="Z90" s="7"/>
      <c r="AA90" s="5" t="str">
        <f t="shared" si="26"/>
        <v/>
      </c>
      <c r="AB90" s="7"/>
      <c r="AC90" s="7"/>
      <c r="AD90" s="5"/>
      <c r="AE90" s="7"/>
      <c r="AF90" s="6"/>
      <c r="AG90" s="5"/>
      <c r="AH90" s="5" t="str">
        <f t="shared" si="23"/>
        <v>-</v>
      </c>
      <c r="AI90" s="5" t="str">
        <f t="shared" si="24"/>
        <v>-</v>
      </c>
      <c r="AJ90" s="5" t="str">
        <f t="shared" si="25"/>
        <v>-</v>
      </c>
    </row>
    <row r="91" spans="1:36" x14ac:dyDescent="0.25">
      <c r="A91" s="5">
        <v>90</v>
      </c>
      <c r="B91" s="130">
        <v>9717</v>
      </c>
      <c r="C91" s="14">
        <v>45512</v>
      </c>
      <c r="D91" s="5" t="str">
        <f t="shared" si="32"/>
        <v>Aug</v>
      </c>
      <c r="E91" s="8" t="s">
        <v>478</v>
      </c>
      <c r="F91" s="13" t="s">
        <v>647</v>
      </c>
      <c r="G91" s="12">
        <v>3433</v>
      </c>
      <c r="H91" s="11" t="str">
        <f>IF(G91="","",VLOOKUP(G91,'MASTER DATA'!C:D,2,FALSE ))</f>
        <v>Prathvi Singh Yadav</v>
      </c>
      <c r="I91" s="10" t="str">
        <f>IF(G91="","",VLOOKUP(G91,'MASTER DATA'!C:F,4,FALSE ))</f>
        <v>Manish Kumar Saini</v>
      </c>
      <c r="J91" s="10">
        <f>IF(G91="","",VLOOKUP(G91,'MASTER DATA'!C:J,8,FALSE))</f>
        <v>3465</v>
      </c>
      <c r="K91" s="10" t="str">
        <f>IF(I91="","",VLOOKUP(I91,'MASTER DATA'!F:G,2,FALSE ))</f>
        <v>Deepak Sharma</v>
      </c>
      <c r="L91" s="10">
        <f>IF(K91="","",VLOOKUP(K91,'MASTER DATA'!G:K,5,FALSE))</f>
        <v>1449</v>
      </c>
      <c r="M91" s="10" t="str">
        <f>IF(G91="","",VLOOKUP(G91,'MASTER DATA'!C:L,10,0))</f>
        <v>Pawan Khandelwal</v>
      </c>
      <c r="N91" s="5" t="str">
        <f>VLOOKUP(G91,'MASTER DATA'!C:I,7,0)</f>
        <v>Ajay Gupta</v>
      </c>
      <c r="O91" s="5"/>
      <c r="P91" s="5" t="str">
        <f t="shared" si="33"/>
        <v/>
      </c>
      <c r="Q91" s="7"/>
      <c r="R91" s="9"/>
      <c r="S91" s="8" t="s">
        <v>0</v>
      </c>
      <c r="T91" s="8">
        <v>600000</v>
      </c>
      <c r="U91" s="7"/>
      <c r="V91" s="5"/>
      <c r="W91" s="7"/>
      <c r="X91" s="5" t="str">
        <f t="shared" si="34"/>
        <v/>
      </c>
      <c r="Y91" s="7"/>
      <c r="Z91" s="7"/>
      <c r="AA91" s="5" t="str">
        <f t="shared" si="26"/>
        <v/>
      </c>
      <c r="AB91" s="7"/>
      <c r="AC91" s="7"/>
      <c r="AD91" s="5"/>
      <c r="AE91" s="7"/>
      <c r="AF91" s="6"/>
      <c r="AG91" s="5"/>
      <c r="AH91" s="5" t="str">
        <f t="shared" si="23"/>
        <v>-</v>
      </c>
      <c r="AI91" s="5" t="str">
        <f t="shared" si="24"/>
        <v>-</v>
      </c>
      <c r="AJ91" s="5" t="str">
        <f t="shared" si="25"/>
        <v>-</v>
      </c>
    </row>
    <row r="92" spans="1:36" x14ac:dyDescent="0.25">
      <c r="A92" s="5">
        <v>91</v>
      </c>
      <c r="B92" s="130">
        <v>9730</v>
      </c>
      <c r="C92" s="14">
        <v>45512</v>
      </c>
      <c r="D92" s="5" t="str">
        <f t="shared" si="32"/>
        <v>Aug</v>
      </c>
      <c r="E92" s="8" t="s">
        <v>75</v>
      </c>
      <c r="F92" s="13" t="s">
        <v>648</v>
      </c>
      <c r="G92" s="12">
        <v>3302</v>
      </c>
      <c r="H92" s="11" t="str">
        <f>IF(G92="","",VLOOKUP(G92,'MASTER DATA'!C:D,2,FALSE ))</f>
        <v>Surendra Kumar</v>
      </c>
      <c r="I92" s="10" t="str">
        <f>IF(G92="","",VLOOKUP(G92,'MASTER DATA'!C:F,4,FALSE ))</f>
        <v>Mukesh Kumar Meghwal</v>
      </c>
      <c r="J92" s="10">
        <f>IF(G92="","",VLOOKUP(G92,'MASTER DATA'!C:J,8,FALSE))</f>
        <v>3229</v>
      </c>
      <c r="K92" s="10" t="str">
        <f>IF(I92="","",VLOOKUP(I92,'MASTER DATA'!F:G,2,FALSE ))</f>
        <v>Gajanand Purohit</v>
      </c>
      <c r="L92" s="10">
        <f>IF(K92="","",VLOOKUP(K92,'MASTER DATA'!G:K,5,FALSE))</f>
        <v>1596</v>
      </c>
      <c r="M92" s="10" t="str">
        <f>IF(G92="","",VLOOKUP(G92,'MASTER DATA'!C:L,10,0))</f>
        <v>Mayur Luhadia</v>
      </c>
      <c r="N92" s="5" t="str">
        <f>VLOOKUP(G92,'MASTER DATA'!C:I,7,0)</f>
        <v>Pradeep kumar Rohlan</v>
      </c>
      <c r="O92" s="5"/>
      <c r="P92" s="5" t="str">
        <f t="shared" si="33"/>
        <v/>
      </c>
      <c r="Q92" s="7"/>
      <c r="R92" s="9"/>
      <c r="S92" s="8" t="s">
        <v>0</v>
      </c>
      <c r="T92" s="8">
        <v>500000</v>
      </c>
      <c r="U92" s="7"/>
      <c r="V92" s="5"/>
      <c r="W92" s="7"/>
      <c r="X92" s="5" t="str">
        <f t="shared" si="34"/>
        <v/>
      </c>
      <c r="Y92" s="7"/>
      <c r="Z92" s="7"/>
      <c r="AA92" s="5" t="str">
        <f t="shared" si="26"/>
        <v/>
      </c>
      <c r="AB92" s="7"/>
      <c r="AC92" s="7"/>
      <c r="AD92" s="5"/>
      <c r="AE92" s="7"/>
      <c r="AF92" s="6"/>
      <c r="AG92" s="5"/>
      <c r="AH92" s="5" t="str">
        <f t="shared" si="23"/>
        <v>-</v>
      </c>
      <c r="AI92" s="5" t="str">
        <f t="shared" si="24"/>
        <v>-</v>
      </c>
      <c r="AJ92" s="5" t="str">
        <f t="shared" si="25"/>
        <v>-</v>
      </c>
    </row>
    <row r="93" spans="1:36" x14ac:dyDescent="0.25">
      <c r="A93" s="5">
        <v>92</v>
      </c>
      <c r="B93" s="130">
        <v>9528</v>
      </c>
      <c r="C93" s="14">
        <v>45512</v>
      </c>
      <c r="D93" s="5" t="str">
        <f t="shared" si="32"/>
        <v>Aug</v>
      </c>
      <c r="E93" s="8" t="s">
        <v>639</v>
      </c>
      <c r="F93" s="13" t="s">
        <v>649</v>
      </c>
      <c r="G93" s="12">
        <v>1944</v>
      </c>
      <c r="H93" s="11" t="str">
        <f>IF(G93="","",VLOOKUP(G93,'MASTER DATA'!C:D,2,FALSE ))</f>
        <v>Ganesh Meghwal</v>
      </c>
      <c r="I93" s="10" t="str">
        <f>IF(G93="","",VLOOKUP(G93,'MASTER DATA'!C:F,4,FALSE ))</f>
        <v>Manoj Kumar Yadav</v>
      </c>
      <c r="J93" s="10">
        <f>IF(G93="","",VLOOKUP(G93,'MASTER DATA'!C:J,8,FALSE))</f>
        <v>1827</v>
      </c>
      <c r="K93" s="10" t="str">
        <f>IF(I93="","",VLOOKUP(I93,'MASTER DATA'!F:G,2,FALSE ))</f>
        <v>Gajanand Purohit</v>
      </c>
      <c r="L93" s="10">
        <f>IF(K93="","",VLOOKUP(K93,'MASTER DATA'!G:K,5,FALSE))</f>
        <v>1596</v>
      </c>
      <c r="M93" s="10" t="str">
        <f>IF(G93="","",VLOOKUP(G93,'MASTER DATA'!C:L,10,0))</f>
        <v>Mayur Luhadia</v>
      </c>
      <c r="N93" s="5" t="str">
        <f>VLOOKUP(G93,'MASTER DATA'!C:I,7,0)</f>
        <v>Pradeep kumar Rohlan</v>
      </c>
      <c r="O93" s="5"/>
      <c r="P93" s="5" t="str">
        <f t="shared" si="33"/>
        <v/>
      </c>
      <c r="Q93" s="7"/>
      <c r="R93" s="9"/>
      <c r="S93" s="8" t="s">
        <v>0</v>
      </c>
      <c r="T93" s="8">
        <v>500000</v>
      </c>
      <c r="U93" s="7"/>
      <c r="V93" s="5"/>
      <c r="W93" s="7"/>
      <c r="X93" s="5" t="str">
        <f t="shared" si="34"/>
        <v/>
      </c>
      <c r="Y93" s="7"/>
      <c r="Z93" s="7"/>
      <c r="AA93" s="5" t="str">
        <f t="shared" si="26"/>
        <v/>
      </c>
      <c r="AB93" s="7"/>
      <c r="AC93" s="7"/>
      <c r="AD93" s="5"/>
      <c r="AE93" s="7"/>
      <c r="AF93" s="6"/>
      <c r="AG93" s="5"/>
      <c r="AH93" s="5" t="str">
        <f t="shared" si="23"/>
        <v>-</v>
      </c>
      <c r="AI93" s="5" t="str">
        <f t="shared" si="24"/>
        <v>-</v>
      </c>
      <c r="AJ93" s="5" t="str">
        <f t="shared" si="25"/>
        <v>-</v>
      </c>
    </row>
    <row r="94" spans="1:36" x14ac:dyDescent="0.25">
      <c r="A94" s="5">
        <v>93</v>
      </c>
      <c r="B94" s="130">
        <v>9748</v>
      </c>
      <c r="C94" s="14">
        <v>45512</v>
      </c>
      <c r="D94" s="5" t="str">
        <f t="shared" si="32"/>
        <v>Aug</v>
      </c>
      <c r="E94" s="8" t="s">
        <v>43</v>
      </c>
      <c r="F94" s="13" t="s">
        <v>650</v>
      </c>
      <c r="G94" s="12">
        <v>3437</v>
      </c>
      <c r="H94" s="11" t="str">
        <f>IF(G94="","",VLOOKUP(G94,'MASTER DATA'!C:D,2,FALSE ))</f>
        <v>Vijay singh</v>
      </c>
      <c r="I94" s="10" t="str">
        <f>IF(G94="","",VLOOKUP(G94,'MASTER DATA'!C:F,4,FALSE ))</f>
        <v>Rakesh Yadav</v>
      </c>
      <c r="J94" s="10">
        <f>IF(G94="","",VLOOKUP(G94,'MASTER DATA'!C:J,8,FALSE))</f>
        <v>3343</v>
      </c>
      <c r="K94" s="10" t="str">
        <f>IF(I94="","",VLOOKUP(I94,'MASTER DATA'!F:G,2,FALSE ))</f>
        <v>Deepak Sharma</v>
      </c>
      <c r="L94" s="10">
        <f>IF(K94="","",VLOOKUP(K94,'MASTER DATA'!G:K,5,FALSE))</f>
        <v>1449</v>
      </c>
      <c r="M94" s="10" t="str">
        <f>IF(G94="","",VLOOKUP(G94,'MASTER DATA'!C:L,10,0))</f>
        <v>Pawan Khandelwal</v>
      </c>
      <c r="N94" s="5" t="str">
        <f>VLOOKUP(G94,'MASTER DATA'!C:I,7,0)</f>
        <v>Ajay Gupta</v>
      </c>
      <c r="O94" s="5"/>
      <c r="P94" s="5" t="str">
        <f t="shared" si="33"/>
        <v/>
      </c>
      <c r="Q94" s="7"/>
      <c r="R94" s="9"/>
      <c r="S94" s="8" t="s">
        <v>0</v>
      </c>
      <c r="T94" s="8">
        <v>650000</v>
      </c>
      <c r="U94" s="7"/>
      <c r="V94" s="5"/>
      <c r="W94" s="7"/>
      <c r="X94" s="5" t="str">
        <f t="shared" si="34"/>
        <v/>
      </c>
      <c r="Y94" s="7"/>
      <c r="Z94" s="7"/>
      <c r="AA94" s="5" t="str">
        <f t="shared" si="26"/>
        <v/>
      </c>
      <c r="AB94" s="7"/>
      <c r="AC94" s="7"/>
      <c r="AD94" s="5"/>
      <c r="AE94" s="7"/>
      <c r="AF94" s="6"/>
      <c r="AG94" s="5"/>
      <c r="AH94" s="5" t="str">
        <f t="shared" si="23"/>
        <v>-</v>
      </c>
      <c r="AI94" s="5" t="str">
        <f t="shared" si="24"/>
        <v>-</v>
      </c>
      <c r="AJ94" s="5" t="str">
        <f t="shared" si="25"/>
        <v>-</v>
      </c>
    </row>
    <row r="95" spans="1:36" x14ac:dyDescent="0.25">
      <c r="A95" s="5">
        <v>94</v>
      </c>
      <c r="B95" s="130">
        <v>9708</v>
      </c>
      <c r="C95" s="14">
        <v>45512</v>
      </c>
      <c r="D95" s="5" t="str">
        <f t="shared" ref="D95:D101" si="35">IF(C95="","",TEXT(C95,"mmm"))</f>
        <v>Aug</v>
      </c>
      <c r="E95" s="8" t="s">
        <v>2</v>
      </c>
      <c r="F95" s="13" t="s">
        <v>664</v>
      </c>
      <c r="G95" s="12">
        <v>3044</v>
      </c>
      <c r="H95" s="11" t="str">
        <f>IF(G95="","",VLOOKUP(G95,'MASTER DATA'!C:D,2,FALSE ))</f>
        <v>Mohan Singh</v>
      </c>
      <c r="I95" s="10" t="str">
        <f>IF(G95="","",VLOOKUP(G95,'MASTER DATA'!C:F,4,FALSE ))</f>
        <v>Mohan Singh</v>
      </c>
      <c r="J95" s="10">
        <f>IF(G95="","",VLOOKUP(G95,'MASTER DATA'!C:J,8,FALSE))</f>
        <v>3044</v>
      </c>
      <c r="K95" s="10" t="str">
        <f>IF(I95="","",VLOOKUP(I95,'MASTER DATA'!F:G,2,FALSE ))</f>
        <v>Gajanand Purohit</v>
      </c>
      <c r="L95" s="10">
        <f>IF(K95="","",VLOOKUP(K95,'MASTER DATA'!G:K,5,FALSE))</f>
        <v>1596</v>
      </c>
      <c r="M95" s="10" t="str">
        <f>IF(G95="","",VLOOKUP(G95,'MASTER DATA'!C:L,10,0))</f>
        <v>Mayur Luhadia</v>
      </c>
      <c r="N95" s="5" t="str">
        <f>VLOOKUP(G95,'MASTER DATA'!C:I,7,0)</f>
        <v>Pradeep kumar Rohlan</v>
      </c>
      <c r="O95" s="5"/>
      <c r="P95" s="5" t="str">
        <f t="shared" ref="P95:P101" si="36">IF(O95="","","Done")</f>
        <v/>
      </c>
      <c r="Q95" s="7"/>
      <c r="R95" s="9"/>
      <c r="S95" s="8" t="s">
        <v>0</v>
      </c>
      <c r="T95" s="8">
        <v>900000</v>
      </c>
      <c r="U95" s="7"/>
      <c r="V95" s="5"/>
      <c r="W95" s="7"/>
      <c r="X95" s="5" t="str">
        <f t="shared" ref="X95:X101" si="37">IF(W95="","",TEXT(W95,"mmm"))</f>
        <v/>
      </c>
      <c r="Y95" s="7"/>
      <c r="Z95" s="7"/>
      <c r="AA95" s="5" t="str">
        <f t="shared" ref="AA95:AA101" si="38">IF(AND(ISBLANK(Y95), ISBLANK(Z95)), "", IF(AND(NOT(ISBLANK(Y95)), ISBLANK(Z95)), "Pending", IF(AND(ISBLANK(Y95), NOT(ISBLANK(Z95))), "Received", "Received")))</f>
        <v/>
      </c>
      <c r="AB95" s="7"/>
      <c r="AC95" s="7"/>
      <c r="AD95" s="5"/>
      <c r="AE95" s="7"/>
      <c r="AF95" s="6"/>
      <c r="AG95" s="5"/>
      <c r="AH95" s="5" t="str">
        <f t="shared" ref="AH95:AH101" si="39">IF(Q95="","-",Q95-C95)</f>
        <v>-</v>
      </c>
      <c r="AI95" s="5" t="str">
        <f t="shared" ref="AI95:AI101" si="40">IF(W95="","-",W95-C95)</f>
        <v>-</v>
      </c>
      <c r="AJ95" s="5" t="str">
        <f t="shared" ref="AJ95:AJ101" si="41">IF(AE95="","-",AE95-C95)</f>
        <v>-</v>
      </c>
    </row>
    <row r="96" spans="1:36" x14ac:dyDescent="0.25">
      <c r="A96" s="5">
        <v>95</v>
      </c>
      <c r="B96" s="130">
        <v>9677</v>
      </c>
      <c r="C96" s="14">
        <v>45512</v>
      </c>
      <c r="D96" s="5" t="str">
        <f t="shared" si="35"/>
        <v>Aug</v>
      </c>
      <c r="E96" s="8" t="s">
        <v>57</v>
      </c>
      <c r="F96" s="13" t="s">
        <v>665</v>
      </c>
      <c r="G96" s="12">
        <v>1985</v>
      </c>
      <c r="H96" s="11" t="str">
        <f>IF(G96="","",VLOOKUP(G96,'MASTER DATA'!C:D,2,FALSE ))</f>
        <v>Sonu Kumar</v>
      </c>
      <c r="I96" s="10" t="str">
        <f>IF(G96="","",VLOOKUP(G96,'MASTER DATA'!C:F,4,FALSE ))</f>
        <v>Babu Lal</v>
      </c>
      <c r="J96" s="10">
        <f>IF(G96="","",VLOOKUP(G96,'MASTER DATA'!C:J,8,FALSE))</f>
        <v>1983</v>
      </c>
      <c r="K96" s="10" t="str">
        <f>IF(I96="","",VLOOKUP(I96,'MASTER DATA'!F:G,2,FALSE ))</f>
        <v>Santosh Kumar</v>
      </c>
      <c r="L96" s="10">
        <f>IF(K96="","",VLOOKUP(K96,'MASTER DATA'!G:K,5,FALSE))</f>
        <v>1447</v>
      </c>
      <c r="M96" s="10" t="str">
        <f>IF(G96="","",VLOOKUP(G96,'MASTER DATA'!C:L,10,0))</f>
        <v>Mayur Luhadia</v>
      </c>
      <c r="N96" s="5" t="str">
        <f>VLOOKUP(G96,'MASTER DATA'!C:I,7,0)</f>
        <v>Sunil Bagoria</v>
      </c>
      <c r="O96" s="5"/>
      <c r="P96" s="5" t="str">
        <f t="shared" si="36"/>
        <v/>
      </c>
      <c r="Q96" s="7"/>
      <c r="R96" s="9"/>
      <c r="S96" s="8" t="s">
        <v>0</v>
      </c>
      <c r="T96" s="8">
        <v>700000</v>
      </c>
      <c r="U96" s="7"/>
      <c r="V96" s="5"/>
      <c r="W96" s="7"/>
      <c r="X96" s="5" t="str">
        <f t="shared" si="37"/>
        <v/>
      </c>
      <c r="Y96" s="7"/>
      <c r="Z96" s="7"/>
      <c r="AA96" s="5" t="str">
        <f t="shared" si="38"/>
        <v/>
      </c>
      <c r="AB96" s="7"/>
      <c r="AC96" s="7"/>
      <c r="AD96" s="5"/>
      <c r="AE96" s="7"/>
      <c r="AF96" s="6"/>
      <c r="AG96" s="5"/>
      <c r="AH96" s="5" t="str">
        <f t="shared" si="39"/>
        <v>-</v>
      </c>
      <c r="AI96" s="5" t="str">
        <f t="shared" si="40"/>
        <v>-</v>
      </c>
      <c r="AJ96" s="5" t="str">
        <f t="shared" si="41"/>
        <v>-</v>
      </c>
    </row>
    <row r="97" spans="1:36" x14ac:dyDescent="0.25">
      <c r="A97" s="5">
        <v>96</v>
      </c>
      <c r="B97" s="130">
        <v>9796</v>
      </c>
      <c r="C97" s="14">
        <v>45512</v>
      </c>
      <c r="D97" s="5" t="str">
        <f t="shared" si="35"/>
        <v>Aug</v>
      </c>
      <c r="E97" s="8" t="s">
        <v>478</v>
      </c>
      <c r="F97" s="13" t="s">
        <v>666</v>
      </c>
      <c r="G97" s="12">
        <v>3433</v>
      </c>
      <c r="H97" s="11" t="str">
        <f>IF(G97="","",VLOOKUP(G97,'MASTER DATA'!C:D,2,FALSE ))</f>
        <v>Prathvi Singh Yadav</v>
      </c>
      <c r="I97" s="10" t="str">
        <f>IF(G97="","",VLOOKUP(G97,'MASTER DATA'!C:F,4,FALSE ))</f>
        <v>Manish Kumar Saini</v>
      </c>
      <c r="J97" s="10">
        <f>IF(G97="","",VLOOKUP(G97,'MASTER DATA'!C:J,8,FALSE))</f>
        <v>3465</v>
      </c>
      <c r="K97" s="10" t="str">
        <f>IF(I97="","",VLOOKUP(I97,'MASTER DATA'!F:G,2,FALSE ))</f>
        <v>Deepak Sharma</v>
      </c>
      <c r="L97" s="10">
        <f>IF(K97="","",VLOOKUP(K97,'MASTER DATA'!G:K,5,FALSE))</f>
        <v>1449</v>
      </c>
      <c r="M97" s="10" t="str">
        <f>IF(G97="","",VLOOKUP(G97,'MASTER DATA'!C:L,10,0))</f>
        <v>Pawan Khandelwal</v>
      </c>
      <c r="N97" s="5" t="str">
        <f>VLOOKUP(G97,'MASTER DATA'!C:I,7,0)</f>
        <v>Ajay Gupta</v>
      </c>
      <c r="O97" s="5"/>
      <c r="P97" s="5" t="str">
        <f t="shared" si="36"/>
        <v/>
      </c>
      <c r="Q97" s="7"/>
      <c r="R97" s="9"/>
      <c r="S97" s="8" t="s">
        <v>0</v>
      </c>
      <c r="T97" s="8">
        <v>500000</v>
      </c>
      <c r="U97" s="7"/>
      <c r="V97" s="5"/>
      <c r="W97" s="7"/>
      <c r="X97" s="5" t="str">
        <f t="shared" si="37"/>
        <v/>
      </c>
      <c r="Y97" s="7"/>
      <c r="Z97" s="7"/>
      <c r="AA97" s="5" t="str">
        <f t="shared" si="38"/>
        <v/>
      </c>
      <c r="AB97" s="7"/>
      <c r="AC97" s="7"/>
      <c r="AD97" s="5"/>
      <c r="AE97" s="7"/>
      <c r="AF97" s="6"/>
      <c r="AG97" s="5"/>
      <c r="AH97" s="5" t="str">
        <f t="shared" si="39"/>
        <v>-</v>
      </c>
      <c r="AI97" s="5" t="str">
        <f t="shared" si="40"/>
        <v>-</v>
      </c>
      <c r="AJ97" s="5" t="str">
        <f t="shared" si="41"/>
        <v>-</v>
      </c>
    </row>
    <row r="98" spans="1:36" x14ac:dyDescent="0.25">
      <c r="A98" s="5">
        <v>97</v>
      </c>
      <c r="B98" s="130">
        <v>9740</v>
      </c>
      <c r="C98" s="14">
        <v>45512</v>
      </c>
      <c r="D98" s="5" t="str">
        <f t="shared" si="35"/>
        <v>Aug</v>
      </c>
      <c r="E98" s="8" t="s">
        <v>13</v>
      </c>
      <c r="F98" s="13" t="s">
        <v>587</v>
      </c>
      <c r="G98" s="12">
        <v>3178</v>
      </c>
      <c r="H98" s="11" t="str">
        <f>IF(G98="","",VLOOKUP(G98,'MASTER DATA'!C:D,2,FALSE ))</f>
        <v>Akash Chouhan</v>
      </c>
      <c r="I98" s="10" t="str">
        <f>IF(G98="","",VLOOKUP(G98,'MASTER DATA'!C:F,4,FALSE ))</f>
        <v>Ankur Khole</v>
      </c>
      <c r="J98" s="10">
        <f>IF(G98="","",VLOOKUP(G98,'MASTER DATA'!C:J,8,FALSE))</f>
        <v>3052</v>
      </c>
      <c r="K98" s="10" t="str">
        <f>IF(I98="","",VLOOKUP(I98,'MASTER DATA'!F:G,2,FALSE ))</f>
        <v>Ankur Khole</v>
      </c>
      <c r="L98" s="10">
        <f>IF(K98="","",VLOOKUP(K98,'MASTER DATA'!G:K,5,FALSE))</f>
        <v>3052</v>
      </c>
      <c r="M98" s="10" t="str">
        <f>IF(G98="","",VLOOKUP(G98,'MASTER DATA'!C:L,10,0))</f>
        <v>Ranjan Somani</v>
      </c>
      <c r="N98" s="5" t="str">
        <f>VLOOKUP(G98,'MASTER DATA'!C:I,7,0)</f>
        <v>Manoj Chauhan</v>
      </c>
      <c r="O98" s="5"/>
      <c r="P98" s="5" t="str">
        <f t="shared" si="36"/>
        <v/>
      </c>
      <c r="Q98" s="7"/>
      <c r="R98" s="9"/>
      <c r="S98" s="8" t="s">
        <v>0</v>
      </c>
      <c r="T98" s="8">
        <v>990000</v>
      </c>
      <c r="U98" s="7"/>
      <c r="V98" s="5"/>
      <c r="W98" s="7"/>
      <c r="X98" s="5" t="str">
        <f t="shared" si="37"/>
        <v/>
      </c>
      <c r="Y98" s="7"/>
      <c r="Z98" s="7"/>
      <c r="AA98" s="5" t="str">
        <f t="shared" si="38"/>
        <v/>
      </c>
      <c r="AB98" s="7"/>
      <c r="AC98" s="7"/>
      <c r="AD98" s="5"/>
      <c r="AE98" s="7"/>
      <c r="AF98" s="6"/>
      <c r="AG98" s="5"/>
      <c r="AH98" s="5" t="str">
        <f t="shared" si="39"/>
        <v>-</v>
      </c>
      <c r="AI98" s="5" t="str">
        <f t="shared" si="40"/>
        <v>-</v>
      </c>
      <c r="AJ98" s="5" t="str">
        <f t="shared" si="41"/>
        <v>-</v>
      </c>
    </row>
    <row r="99" spans="1:36" x14ac:dyDescent="0.25">
      <c r="A99" s="5">
        <v>98</v>
      </c>
      <c r="B99" s="130">
        <v>9797</v>
      </c>
      <c r="C99" s="14">
        <v>45512</v>
      </c>
      <c r="D99" s="5" t="str">
        <f t="shared" si="35"/>
        <v>Aug</v>
      </c>
      <c r="E99" s="8" t="s">
        <v>43</v>
      </c>
      <c r="F99" s="13" t="s">
        <v>667</v>
      </c>
      <c r="G99" s="12">
        <v>1851</v>
      </c>
      <c r="H99" s="11" t="str">
        <f>IF(G99="","",VLOOKUP(G99,'MASTER DATA'!C:D,2,FALSE ))</f>
        <v>Surendra Kuri</v>
      </c>
      <c r="I99" s="10" t="str">
        <f>IF(G99="","",VLOOKUP(G99,'MASTER DATA'!C:F,4,FALSE ))</f>
        <v>Rakesh Yadav</v>
      </c>
      <c r="J99" s="10">
        <f>IF(G99="","",VLOOKUP(G99,'MASTER DATA'!C:J,8,FALSE))</f>
        <v>3343</v>
      </c>
      <c r="K99" s="10" t="str">
        <f>IF(I99="","",VLOOKUP(I99,'MASTER DATA'!F:G,2,FALSE ))</f>
        <v>Deepak Sharma</v>
      </c>
      <c r="L99" s="10">
        <f>IF(K99="","",VLOOKUP(K99,'MASTER DATA'!G:K,5,FALSE))</f>
        <v>1449</v>
      </c>
      <c r="M99" s="10" t="str">
        <f>IF(G99="","",VLOOKUP(G99,'MASTER DATA'!C:L,10,0))</f>
        <v>Pawan Khandelwal</v>
      </c>
      <c r="N99" s="5" t="str">
        <f>VLOOKUP(G99,'MASTER DATA'!C:I,7,0)</f>
        <v>Ajay Gupta</v>
      </c>
      <c r="O99" s="5"/>
      <c r="P99" s="5" t="str">
        <f t="shared" si="36"/>
        <v/>
      </c>
      <c r="Q99" s="7"/>
      <c r="R99" s="9"/>
      <c r="S99" s="8" t="s">
        <v>0</v>
      </c>
      <c r="T99" s="8">
        <v>990000</v>
      </c>
      <c r="U99" s="7"/>
      <c r="V99" s="5"/>
      <c r="W99" s="7"/>
      <c r="X99" s="5" t="str">
        <f t="shared" si="37"/>
        <v/>
      </c>
      <c r="Y99" s="7"/>
      <c r="Z99" s="7"/>
      <c r="AA99" s="5" t="str">
        <f t="shared" si="38"/>
        <v/>
      </c>
      <c r="AB99" s="7"/>
      <c r="AC99" s="7"/>
      <c r="AD99" s="5"/>
      <c r="AE99" s="7"/>
      <c r="AF99" s="6"/>
      <c r="AG99" s="5"/>
      <c r="AH99" s="5" t="str">
        <f t="shared" si="39"/>
        <v>-</v>
      </c>
      <c r="AI99" s="5" t="str">
        <f t="shared" si="40"/>
        <v>-</v>
      </c>
      <c r="AJ99" s="5" t="str">
        <f t="shared" si="41"/>
        <v>-</v>
      </c>
    </row>
    <row r="100" spans="1:36" x14ac:dyDescent="0.25">
      <c r="A100" s="5">
        <v>99</v>
      </c>
      <c r="B100" s="130">
        <v>9794</v>
      </c>
      <c r="C100" s="14">
        <v>45512</v>
      </c>
      <c r="D100" s="5" t="str">
        <f t="shared" si="35"/>
        <v>Aug</v>
      </c>
      <c r="E100" s="8" t="s">
        <v>43</v>
      </c>
      <c r="F100" s="13" t="s">
        <v>668</v>
      </c>
      <c r="G100" s="12">
        <v>3437</v>
      </c>
      <c r="H100" s="11" t="str">
        <f>IF(G100="","",VLOOKUP(G100,'MASTER DATA'!C:D,2,FALSE ))</f>
        <v>Vijay singh</v>
      </c>
      <c r="I100" s="10" t="str">
        <f>IF(G100="","",VLOOKUP(G100,'MASTER DATA'!C:F,4,FALSE ))</f>
        <v>Rakesh Yadav</v>
      </c>
      <c r="J100" s="10">
        <f>IF(G100="","",VLOOKUP(G100,'MASTER DATA'!C:J,8,FALSE))</f>
        <v>3343</v>
      </c>
      <c r="K100" s="10" t="str">
        <f>IF(I100="","",VLOOKUP(I100,'MASTER DATA'!F:G,2,FALSE ))</f>
        <v>Deepak Sharma</v>
      </c>
      <c r="L100" s="10">
        <f>IF(K100="","",VLOOKUP(K100,'MASTER DATA'!G:K,5,FALSE))</f>
        <v>1449</v>
      </c>
      <c r="M100" s="10" t="str">
        <f>IF(G100="","",VLOOKUP(G100,'MASTER DATA'!C:L,10,0))</f>
        <v>Pawan Khandelwal</v>
      </c>
      <c r="N100" s="5" t="str">
        <f>VLOOKUP(G100,'MASTER DATA'!C:I,7,0)</f>
        <v>Ajay Gupta</v>
      </c>
      <c r="O100" s="5"/>
      <c r="P100" s="5" t="str">
        <f t="shared" si="36"/>
        <v/>
      </c>
      <c r="Q100" s="7"/>
      <c r="R100" s="9"/>
      <c r="S100" s="8" t="s">
        <v>0</v>
      </c>
      <c r="T100" s="8">
        <v>330000</v>
      </c>
      <c r="U100" s="7"/>
      <c r="V100" s="5"/>
      <c r="W100" s="7"/>
      <c r="X100" s="5" t="str">
        <f t="shared" si="37"/>
        <v/>
      </c>
      <c r="Y100" s="7"/>
      <c r="Z100" s="7"/>
      <c r="AA100" s="5" t="str">
        <f t="shared" si="38"/>
        <v/>
      </c>
      <c r="AB100" s="7"/>
      <c r="AC100" s="7"/>
      <c r="AD100" s="5"/>
      <c r="AE100" s="7"/>
      <c r="AF100" s="6"/>
      <c r="AG100" s="5"/>
      <c r="AH100" s="5" t="str">
        <f t="shared" si="39"/>
        <v>-</v>
      </c>
      <c r="AI100" s="5" t="str">
        <f t="shared" si="40"/>
        <v>-</v>
      </c>
      <c r="AJ100" s="5" t="str">
        <f t="shared" si="41"/>
        <v>-</v>
      </c>
    </row>
    <row r="101" spans="1:36" x14ac:dyDescent="0.25">
      <c r="A101" s="5">
        <v>100</v>
      </c>
      <c r="B101" s="130">
        <v>9798</v>
      </c>
      <c r="C101" s="14">
        <v>45512</v>
      </c>
      <c r="D101" s="5" t="str">
        <f t="shared" si="35"/>
        <v>Aug</v>
      </c>
      <c r="E101" s="8" t="s">
        <v>23</v>
      </c>
      <c r="F101" s="13" t="s">
        <v>587</v>
      </c>
      <c r="G101" s="12">
        <v>3323</v>
      </c>
      <c r="H101" s="11" t="str">
        <f>IF(G101="","",VLOOKUP(G101,'MASTER DATA'!C:D,2,FALSE ))</f>
        <v>Dharmpal Singh Chandawat</v>
      </c>
      <c r="I101" s="10" t="str">
        <f>IF(G101="","",VLOOKUP(G101,'MASTER DATA'!C:F,4,FALSE ))</f>
        <v>Sawan Parmar</v>
      </c>
      <c r="J101" s="10">
        <f>IF(G101="","",VLOOKUP(G101,'MASTER DATA'!C:J,8,FALSE))</f>
        <v>3265</v>
      </c>
      <c r="K101" s="10" t="str">
        <f>IF(I101="","",VLOOKUP(I101,'MASTER DATA'!F:G,2,FALSE ))</f>
        <v>Ankur Khole</v>
      </c>
      <c r="L101" s="10">
        <f>IF(K101="","",VLOOKUP(K101,'MASTER DATA'!G:K,5,FALSE))</f>
        <v>3052</v>
      </c>
      <c r="M101" s="10" t="str">
        <f>IF(G101="","",VLOOKUP(G101,'MASTER DATA'!C:L,10,0))</f>
        <v>Ranjan Somani</v>
      </c>
      <c r="N101" s="5" t="str">
        <f>VLOOKUP(G101,'MASTER DATA'!C:I,7,0)</f>
        <v>Manoj Chauhan</v>
      </c>
      <c r="O101" s="5"/>
      <c r="P101" s="5" t="str">
        <f t="shared" si="36"/>
        <v/>
      </c>
      <c r="Q101" s="7"/>
      <c r="R101" s="9"/>
      <c r="S101" s="8" t="s">
        <v>0</v>
      </c>
      <c r="T101" s="8">
        <v>800000</v>
      </c>
      <c r="U101" s="7"/>
      <c r="V101" s="5"/>
      <c r="W101" s="7"/>
      <c r="X101" s="5" t="str">
        <f t="shared" si="37"/>
        <v/>
      </c>
      <c r="Y101" s="7"/>
      <c r="Z101" s="7"/>
      <c r="AA101" s="5" t="str">
        <f t="shared" si="38"/>
        <v/>
      </c>
      <c r="AB101" s="7"/>
      <c r="AC101" s="7"/>
      <c r="AD101" s="5"/>
      <c r="AE101" s="7"/>
      <c r="AF101" s="6"/>
      <c r="AG101" s="5"/>
      <c r="AH101" s="5" t="str">
        <f t="shared" si="39"/>
        <v>-</v>
      </c>
      <c r="AI101" s="5" t="str">
        <f t="shared" si="40"/>
        <v>-</v>
      </c>
      <c r="AJ101" s="5" t="str">
        <f t="shared" si="41"/>
        <v>-</v>
      </c>
    </row>
  </sheetData>
  <sortState xmlns:xlrd2="http://schemas.microsoft.com/office/spreadsheetml/2017/richdata2" ref="A2:AK35">
    <sortCondition descending="1" ref="D27:D35"/>
  </sortState>
  <conditionalFormatting sqref="A1:B1">
    <cfRule type="duplicateValues" dxfId="149" priority="1411"/>
  </conditionalFormatting>
  <conditionalFormatting sqref="B6">
    <cfRule type="duplicateValues" dxfId="148" priority="1"/>
    <cfRule type="duplicateValues" dxfId="147" priority="2"/>
    <cfRule type="duplicateValues" dxfId="146" priority="3"/>
    <cfRule type="duplicateValues" dxfId="145" priority="4"/>
    <cfRule type="duplicateValues" dxfId="144" priority="5"/>
    <cfRule type="duplicateValues" dxfId="143" priority="6"/>
    <cfRule type="duplicateValues" dxfId="142" priority="7"/>
    <cfRule type="duplicateValues" dxfId="141" priority="8"/>
    <cfRule type="duplicateValues" dxfId="140" priority="9"/>
    <cfRule type="duplicateValues" dxfId="139" priority="10"/>
    <cfRule type="duplicateValues" dxfId="138" priority="11"/>
    <cfRule type="duplicateValues" dxfId="137" priority="12"/>
    <cfRule type="duplicateValues" dxfId="136" priority="13"/>
    <cfRule type="duplicateValues" dxfId="135" priority="14"/>
    <cfRule type="duplicateValues" dxfId="134" priority="15"/>
  </conditionalFormatting>
  <conditionalFormatting sqref="B7">
    <cfRule type="duplicateValues" dxfId="133" priority="17"/>
    <cfRule type="duplicateValues" dxfId="132" priority="18"/>
    <cfRule type="duplicateValues" dxfId="131" priority="19"/>
    <cfRule type="duplicateValues" dxfId="130" priority="20"/>
    <cfRule type="duplicateValues" dxfId="129" priority="21"/>
    <cfRule type="duplicateValues" dxfId="128" priority="22"/>
    <cfRule type="duplicateValues" dxfId="127" priority="23"/>
    <cfRule type="duplicateValues" dxfId="126" priority="24"/>
    <cfRule type="duplicateValues" dxfId="125" priority="25"/>
    <cfRule type="duplicateValues" dxfId="124" priority="26"/>
    <cfRule type="duplicateValues" dxfId="123" priority="27"/>
    <cfRule type="duplicateValues" dxfId="122" priority="28"/>
    <cfRule type="duplicateValues" dxfId="121" priority="29"/>
    <cfRule type="duplicateValues" dxfId="120" priority="30"/>
    <cfRule type="duplicateValues" dxfId="119" priority="31"/>
  </conditionalFormatting>
  <conditionalFormatting sqref="B9">
    <cfRule type="duplicateValues" dxfId="118" priority="81"/>
    <cfRule type="duplicateValues" dxfId="117" priority="82"/>
    <cfRule type="duplicateValues" dxfId="116" priority="75"/>
    <cfRule type="duplicateValues" dxfId="115" priority="76"/>
    <cfRule type="duplicateValues" dxfId="114" priority="77"/>
    <cfRule type="duplicateValues" dxfId="113" priority="78"/>
    <cfRule type="duplicateValues" dxfId="112" priority="79"/>
    <cfRule type="duplicateValues" dxfId="111" priority="71"/>
    <cfRule type="duplicateValues" dxfId="110" priority="72"/>
    <cfRule type="duplicateValues" dxfId="109" priority="80"/>
    <cfRule type="duplicateValues" dxfId="108" priority="73"/>
    <cfRule type="duplicateValues" dxfId="107" priority="74"/>
    <cfRule type="duplicateValues" dxfId="106" priority="83"/>
    <cfRule type="duplicateValues" dxfId="105" priority="84"/>
    <cfRule type="duplicateValues" dxfId="104" priority="85"/>
  </conditionalFormatting>
  <conditionalFormatting sqref="B10">
    <cfRule type="duplicateValues" dxfId="103" priority="39"/>
    <cfRule type="duplicateValues" dxfId="102" priority="40"/>
    <cfRule type="duplicateValues" dxfId="101" priority="41"/>
    <cfRule type="duplicateValues" dxfId="100" priority="42"/>
    <cfRule type="duplicateValues" dxfId="99" priority="43"/>
    <cfRule type="duplicateValues" dxfId="98" priority="44"/>
    <cfRule type="duplicateValues" dxfId="97" priority="45"/>
    <cfRule type="duplicateValues" dxfId="96" priority="46"/>
    <cfRule type="duplicateValues" dxfId="95" priority="47"/>
    <cfRule type="duplicateValues" dxfId="94" priority="48"/>
    <cfRule type="duplicateValues" dxfId="93" priority="49"/>
    <cfRule type="duplicateValues" dxfId="92" priority="50"/>
    <cfRule type="duplicateValues" dxfId="91" priority="51"/>
    <cfRule type="duplicateValues" dxfId="90" priority="52"/>
    <cfRule type="duplicateValues" dxfId="89" priority="53"/>
  </conditionalFormatting>
  <conditionalFormatting sqref="B11">
    <cfRule type="duplicateValues" dxfId="88" priority="59"/>
    <cfRule type="duplicateValues" dxfId="87" priority="60"/>
    <cfRule type="duplicateValues" dxfId="86" priority="61"/>
    <cfRule type="duplicateValues" dxfId="85" priority="63"/>
    <cfRule type="duplicateValues" dxfId="84" priority="64"/>
    <cfRule type="duplicateValues" dxfId="83" priority="65"/>
    <cfRule type="duplicateValues" dxfId="82" priority="66"/>
    <cfRule type="duplicateValues" dxfId="81" priority="67"/>
    <cfRule type="duplicateValues" dxfId="80" priority="68"/>
    <cfRule type="duplicateValues" dxfId="79" priority="69"/>
    <cfRule type="duplicateValues" dxfId="78" priority="62"/>
    <cfRule type="duplicateValues" dxfId="77" priority="55"/>
    <cfRule type="duplicateValues" dxfId="76" priority="56"/>
    <cfRule type="duplicateValues" dxfId="75" priority="57"/>
    <cfRule type="duplicateValues" dxfId="74" priority="58"/>
  </conditionalFormatting>
  <conditionalFormatting sqref="B28:B29">
    <cfRule type="duplicateValues" dxfId="73" priority="143"/>
    <cfRule type="duplicateValues" dxfId="72" priority="139"/>
    <cfRule type="duplicateValues" dxfId="71" priority="138"/>
    <cfRule type="duplicateValues" dxfId="70" priority="137"/>
    <cfRule type="duplicateValues" dxfId="69" priority="135"/>
    <cfRule type="duplicateValues" dxfId="68" priority="134"/>
    <cfRule type="duplicateValues" dxfId="67" priority="133"/>
    <cfRule type="duplicateValues" dxfId="66" priority="136"/>
    <cfRule type="duplicateValues" dxfId="65" priority="132"/>
    <cfRule type="duplicateValues" dxfId="64" priority="131"/>
    <cfRule type="duplicateValues" dxfId="63" priority="130"/>
    <cfRule type="duplicateValues" dxfId="62" priority="140"/>
  </conditionalFormatting>
  <conditionalFormatting sqref="B28:B46">
    <cfRule type="duplicateValues" dxfId="61" priority="129"/>
    <cfRule type="duplicateValues" dxfId="60" priority="141"/>
    <cfRule type="duplicateValues" dxfId="59" priority="142"/>
  </conditionalFormatting>
  <conditionalFormatting sqref="B30:B31">
    <cfRule type="duplicateValues" dxfId="58" priority="118"/>
    <cfRule type="duplicateValues" dxfId="57" priority="122"/>
    <cfRule type="duplicateValues" dxfId="56" priority="121"/>
    <cfRule type="duplicateValues" dxfId="55" priority="123"/>
    <cfRule type="duplicateValues" dxfId="54" priority="124"/>
    <cfRule type="duplicateValues" dxfId="53" priority="125"/>
    <cfRule type="duplicateValues" dxfId="52" priority="126"/>
    <cfRule type="duplicateValues" dxfId="51" priority="127"/>
    <cfRule type="duplicateValues" dxfId="50" priority="119"/>
    <cfRule type="duplicateValues" dxfId="49" priority="120"/>
    <cfRule type="duplicateValues" dxfId="48" priority="128"/>
    <cfRule type="duplicateValues" dxfId="47" priority="117"/>
  </conditionalFormatting>
  <conditionalFormatting sqref="B32:B46">
    <cfRule type="duplicateValues" dxfId="46" priority="113"/>
    <cfRule type="duplicateValues" dxfId="45" priority="111"/>
    <cfRule type="duplicateValues" dxfId="44" priority="110"/>
    <cfRule type="duplicateValues" dxfId="43" priority="109"/>
    <cfRule type="duplicateValues" dxfId="42" priority="112"/>
    <cfRule type="duplicateValues" dxfId="41" priority="108"/>
    <cfRule type="duplicateValues" dxfId="40" priority="107"/>
    <cfRule type="duplicateValues" dxfId="39" priority="106"/>
    <cfRule type="duplicateValues" dxfId="38" priority="116"/>
    <cfRule type="duplicateValues" dxfId="37" priority="115"/>
    <cfRule type="duplicateValues" dxfId="36" priority="114"/>
    <cfRule type="duplicateValues" dxfId="35" priority="105"/>
  </conditionalFormatting>
  <conditionalFormatting sqref="B47:B101">
    <cfRule type="duplicateValues" dxfId="34" priority="91"/>
    <cfRule type="duplicateValues" dxfId="33" priority="92"/>
    <cfRule type="duplicateValues" dxfId="32" priority="93"/>
    <cfRule type="duplicateValues" dxfId="31" priority="95"/>
    <cfRule type="duplicateValues" dxfId="30" priority="96"/>
    <cfRule type="duplicateValues" dxfId="29" priority="97"/>
    <cfRule type="duplicateValues" dxfId="28" priority="98"/>
    <cfRule type="duplicateValues" dxfId="27" priority="99"/>
    <cfRule type="duplicateValues" dxfId="26" priority="100"/>
    <cfRule type="duplicateValues" dxfId="25" priority="101"/>
    <cfRule type="duplicateValues" dxfId="24" priority="102"/>
    <cfRule type="duplicateValues" dxfId="23" priority="94"/>
    <cfRule type="duplicateValues" dxfId="22" priority="87"/>
    <cfRule type="duplicateValues" dxfId="21" priority="88"/>
    <cfRule type="duplicateValues" dxfId="20" priority="89"/>
    <cfRule type="duplicateValues" dxfId="19" priority="90"/>
  </conditionalFormatting>
  <conditionalFormatting sqref="B102:B1048576 B1:B5 B12:B27 B8">
    <cfRule type="duplicateValues" dxfId="18" priority="1423"/>
    <cfRule type="duplicateValues" dxfId="17" priority="1472"/>
    <cfRule type="duplicateValues" dxfId="16" priority="1473"/>
    <cfRule type="duplicateValues" dxfId="15" priority="1474"/>
  </conditionalFormatting>
  <conditionalFormatting sqref="B102:B1048576 B1:B5 B12:B46 B8">
    <cfRule type="duplicateValues" dxfId="14" priority="104"/>
  </conditionalFormatting>
  <conditionalFormatting sqref="G1:G4 G8:G1048576">
    <cfRule type="expression" dxfId="13" priority="1485">
      <formula>AND($G2&lt;&gt;"", $B2&lt;&gt;"", $G2=$B2)</formula>
    </cfRule>
  </conditionalFormatting>
  <conditionalFormatting sqref="G5">
    <cfRule type="expression" dxfId="12" priority="1526">
      <formula>AND($G8&lt;&gt;"", $B8&lt;&gt;"", $G8=$B8)</formula>
    </cfRule>
  </conditionalFormatting>
  <conditionalFormatting sqref="G6:G7">
    <cfRule type="expression" dxfId="11" priority="16">
      <formula>AND($G6&lt;&gt;"", $B6&lt;&gt;"", $G6=$B6)</formula>
    </cfRule>
  </conditionalFormatting>
  <conditionalFormatting sqref="H1:H4 H8:H1048576">
    <cfRule type="expression" dxfId="10" priority="1486">
      <formula>AND($H2&lt;&gt;"", $F2&lt;&gt;"", $H2=$F2)</formula>
    </cfRule>
  </conditionalFormatting>
  <conditionalFormatting sqref="H5:H6">
    <cfRule type="expression" dxfId="9" priority="1547">
      <formula>AND($H8&lt;&gt;"", $F8&lt;&gt;"", $H8=$F8)</formula>
    </cfRule>
  </conditionalFormatting>
  <conditionalFormatting sqref="H7">
    <cfRule type="expression" dxfId="8" priority="1529">
      <formula>AND($H9&lt;&gt;"", $F9&lt;&gt;"", $H9=$F9)</formula>
    </cfRule>
  </conditionalFormatting>
  <dataValidations disablePrompts="1" count="1">
    <dataValidation type="list" allowBlank="1" showInputMessage="1" showErrorMessage="1" sqref="I1" xr:uid="{00000000-0002-0000-00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'MASTER DATA'!$K$3:$K$8</xm:f>
          </x14:formula1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T492"/>
  <sheetViews>
    <sheetView showGridLines="0" topLeftCell="A159" zoomScale="85" zoomScaleNormal="85" workbookViewId="0">
      <selection activeCell="C4" sqref="C4"/>
    </sheetView>
  </sheetViews>
  <sheetFormatPr defaultColWidth="9.140625" defaultRowHeight="15" x14ac:dyDescent="0.25"/>
  <cols>
    <col min="1" max="1" width="21.140625" style="1" bestFit="1" customWidth="1"/>
    <col min="2" max="2" width="14.5703125" style="1" bestFit="1" customWidth="1"/>
    <col min="3" max="3" width="10.5703125" style="1" bestFit="1" customWidth="1"/>
    <col min="4" max="4" width="11.5703125" style="1" bestFit="1" customWidth="1"/>
    <col min="5" max="5" width="6.42578125" style="1" bestFit="1" customWidth="1"/>
    <col min="6" max="6" width="11.5703125" style="1" bestFit="1" customWidth="1"/>
    <col min="7" max="7" width="8.140625" style="1" bestFit="1" customWidth="1"/>
    <col min="8" max="11" width="10.85546875" style="1" bestFit="1" customWidth="1"/>
    <col min="12" max="12" width="12.42578125" style="1" bestFit="1" customWidth="1"/>
    <col min="13" max="13" width="7.85546875" style="1" bestFit="1" customWidth="1"/>
    <col min="14" max="14" width="12.42578125" style="1" bestFit="1" customWidth="1"/>
    <col min="15" max="15" width="7.85546875" style="1" bestFit="1" customWidth="1"/>
    <col min="16" max="16" width="12.42578125" style="1" bestFit="1" customWidth="1"/>
    <col min="17" max="17" width="6.5703125" style="1" bestFit="1" customWidth="1"/>
    <col min="18" max="18" width="12.28515625" style="1" bestFit="1" customWidth="1"/>
    <col min="19" max="19" width="8.42578125" style="1" bestFit="1" customWidth="1"/>
    <col min="20" max="20" width="12.28515625" style="1" bestFit="1" customWidth="1"/>
    <col min="21" max="21" width="16.42578125" style="1" bestFit="1" customWidth="1"/>
    <col min="22" max="22" width="14.140625" style="1" bestFit="1" customWidth="1"/>
    <col min="23" max="23" width="15.28515625" style="1" bestFit="1" customWidth="1"/>
    <col min="24" max="24" width="11.140625" style="1" bestFit="1" customWidth="1"/>
    <col min="25" max="25" width="11.5703125" style="1" bestFit="1" customWidth="1"/>
    <col min="26" max="26" width="12.85546875" style="1" bestFit="1" customWidth="1"/>
    <col min="27" max="27" width="16.140625" style="1" bestFit="1" customWidth="1"/>
    <col min="28" max="28" width="13.7109375" style="1" bestFit="1" customWidth="1"/>
    <col min="29" max="29" width="7.28515625" style="1" bestFit="1" customWidth="1"/>
    <col min="30" max="30" width="11.28515625" style="1" bestFit="1" customWidth="1"/>
    <col min="31" max="16384" width="9.140625" style="1"/>
  </cols>
  <sheetData>
    <row r="1" spans="1:16" x14ac:dyDescent="0.25">
      <c r="A1" s="178" t="s">
        <v>516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6" ht="11.45" customHeight="1" x14ac:dyDescent="0.25">
      <c r="A2" s="175" t="s">
        <v>150</v>
      </c>
      <c r="B2" s="176"/>
      <c r="C2" s="177" t="s">
        <v>149</v>
      </c>
      <c r="D2" s="177"/>
      <c r="E2" s="177" t="s">
        <v>225</v>
      </c>
      <c r="F2" s="177"/>
      <c r="G2" s="177" t="s">
        <v>141</v>
      </c>
      <c r="H2" s="177"/>
      <c r="I2" s="179" t="s">
        <v>147</v>
      </c>
      <c r="J2" s="179"/>
      <c r="K2" s="177" t="s">
        <v>77</v>
      </c>
      <c r="L2" s="177"/>
      <c r="M2" s="69"/>
      <c r="N2" s="69"/>
      <c r="O2" s="182"/>
      <c r="P2" s="182"/>
    </row>
    <row r="3" spans="1:16" ht="15.6" customHeight="1" x14ac:dyDescent="0.25">
      <c r="A3" s="168" t="s">
        <v>105</v>
      </c>
      <c r="B3" s="169"/>
      <c r="C3" s="32" t="s">
        <v>138</v>
      </c>
      <c r="D3" s="32" t="s">
        <v>136</v>
      </c>
      <c r="E3" s="32" t="s">
        <v>137</v>
      </c>
      <c r="F3" s="32" t="s">
        <v>136</v>
      </c>
      <c r="G3" s="32" t="s">
        <v>137</v>
      </c>
      <c r="H3" s="32" t="s">
        <v>136</v>
      </c>
      <c r="I3" s="32" t="s">
        <v>137</v>
      </c>
      <c r="J3" s="32" t="s">
        <v>136</v>
      </c>
      <c r="K3" s="32" t="s">
        <v>137</v>
      </c>
      <c r="L3" s="32" t="s">
        <v>136</v>
      </c>
      <c r="M3" s="69"/>
      <c r="N3" s="69"/>
      <c r="O3" s="127"/>
      <c r="P3" s="127"/>
    </row>
    <row r="4" spans="1:16" x14ac:dyDescent="0.25">
      <c r="A4" s="74" t="s">
        <v>223</v>
      </c>
      <c r="B4" s="73" t="s">
        <v>12</v>
      </c>
      <c r="C4" s="72">
        <f>COUNTIFS('Aug-24 CREDIT MIS'!C:C,"08-08-2024",'Aug-24 CREDIT MIS'!E:E,'Aug Dashboard.'!B4,'Aug-24 CREDIT MIS'!I:I,'Aug Dashboard.'!A4,'Aug-24 CREDIT MIS'!N:N,"Ajay Gupta")</f>
        <v>1</v>
      </c>
      <c r="D4" s="72">
        <f>SUMIFS('Aug-24 CREDIT MIS'!T:T,'Aug-24 CREDIT MIS'!C:C,"08-08-2024",'Aug-24 CREDIT MIS'!E:E,'Aug Dashboard.'!B4,'Aug-24 CREDIT MIS'!I:I,'Aug Dashboard.'!A4,'Aug-24 CREDIT MIS'!N:N,"Ajay Gupta")/100000</f>
        <v>7</v>
      </c>
      <c r="E4" s="72">
        <f>COUNTIFS('Aug-24 CREDIT MIS'!U:U,"08-08-2024",'Aug-24 CREDIT MIS'!E:E,'Aug Dashboard.'!B4,'Aug-24 CREDIT MIS'!I:I,'Aug Dashboard.'!A4,'Aug-24 CREDIT MIS'!N:N,"Ajay Gupta",'Aug-24 CREDIT MIS'!S:S,"Sanction")</f>
        <v>0</v>
      </c>
      <c r="F4" s="72">
        <f>SUMIFS('Aug-24 CREDIT MIS'!V:V,'Aug-24 CREDIT MIS'!U:U,"08-08-2024",'Aug-24 CREDIT MIS'!E:E,'Aug Dashboard.'!B4,'Aug-24 CREDIT MIS'!I:I,'Aug Dashboard.'!A4,'Aug-24 CREDIT MIS'!N:N,"Ajay Gupta",'Aug-24 CREDIT MIS'!S:S,"Sanction")/100000</f>
        <v>0</v>
      </c>
      <c r="G4" s="72">
        <f>COUNTIFS('Aug-24 CREDIT MIS'!U:U,"08-08-2024",'Aug-24 CREDIT MIS'!E:E,'Aug Dashboard.'!B4,'Aug-24 CREDIT MIS'!I:I,'Aug Dashboard.'!A4,'Aug-24 CREDIT MIS'!N:N,"Ajay Gupta",'Aug-24 CREDIT MIS'!S:S,"Reject")</f>
        <v>0</v>
      </c>
      <c r="H4" s="72">
        <f>SUMIFS('Aug-24 CREDIT MIS'!T:T,'Aug-24 CREDIT MIS'!U:U,"08-08-2024",'Aug-24 CREDIT MIS'!E:E,'Aug Dashboard.'!B4,'Aug-24 CREDIT MIS'!I:I,'Aug Dashboard.'!A4,'Aug-24 CREDIT MIS'!N:N,"Ajay Gupta",'Aug-24 CREDIT MIS'!S:S,"Reject")/100000</f>
        <v>0</v>
      </c>
      <c r="I4" s="72">
        <f t="shared" ref="I4:I16" si="0">E4+G4</f>
        <v>0</v>
      </c>
      <c r="J4" s="72">
        <f t="shared" ref="J4:J16" si="1">H4+F4</f>
        <v>0</v>
      </c>
      <c r="K4" s="72">
        <f>COUNTIFS('Aug-24 CREDIT MIS'!AE:AE,"08-08-2024",'Aug-24 CREDIT MIS'!E:E,'Aug Dashboard.'!B4,'Aug-24 CREDIT MIS'!I:I,'Aug Dashboard.'!A4,'Aug-24 CREDIT MIS'!N:N,"Ajay Gupta",'Aug-24 CREDIT MIS'!S:S,"Disbursed")</f>
        <v>0</v>
      </c>
      <c r="L4" s="72">
        <f>SUMIFS('Aug-24 CREDIT MIS'!V:V,'Aug-24 CREDIT MIS'!AE:AE,"08-08-2024",'Aug-24 CREDIT MIS'!E:E,'Aug Dashboard.'!B4,'Aug-24 CREDIT MIS'!I:I,'Aug Dashboard.'!A4,'Aug-24 CREDIT MIS'!N:N,"Ajay Gupta",'Aug-24 CREDIT MIS'!S:S,"Disbursed")/100000</f>
        <v>0</v>
      </c>
      <c r="M4" s="69"/>
      <c r="N4" s="69"/>
      <c r="O4" s="128"/>
      <c r="P4" s="128"/>
    </row>
    <row r="5" spans="1:16" x14ac:dyDescent="0.25">
      <c r="A5" s="74" t="s">
        <v>222</v>
      </c>
      <c r="B5" s="73" t="s">
        <v>4</v>
      </c>
      <c r="C5" s="72">
        <f>COUNTIFS('Aug-24 CREDIT MIS'!C:C,"08-08-2024",'Aug-24 CREDIT MIS'!E:E,'Aug Dashboard.'!B5,'Aug-24 CREDIT MIS'!I:I,'Aug Dashboard.'!A5,'Aug-24 CREDIT MIS'!N:N,"Ajay Gupta")</f>
        <v>0</v>
      </c>
      <c r="D5" s="72">
        <f>SUMIFS('Aug-24 CREDIT MIS'!T:T,'Aug-24 CREDIT MIS'!C:C,"08-08-2024",'Aug-24 CREDIT MIS'!E:E,'Aug Dashboard.'!B5,'Aug-24 CREDIT MIS'!I:I,'Aug Dashboard.'!A5,'Aug-24 CREDIT MIS'!N:N,"Ajay Gupta")/100000</f>
        <v>0</v>
      </c>
      <c r="E5" s="72">
        <f>COUNTIFS('Aug-24 CREDIT MIS'!U:U,"08-08-2024",'Aug-24 CREDIT MIS'!E:E,'Aug Dashboard.'!B5,'Aug-24 CREDIT MIS'!I:I,'Aug Dashboard.'!A5,'Aug-24 CREDIT MIS'!N:N,"Ajay Gupta",'Aug-24 CREDIT MIS'!S:S,"Sanction")</f>
        <v>0</v>
      </c>
      <c r="F5" s="72">
        <f>SUMIFS('Aug-24 CREDIT MIS'!V:V,'Aug-24 CREDIT MIS'!U:U,"08-08-2024",'Aug-24 CREDIT MIS'!E:E,'Aug Dashboard.'!B5,'Aug-24 CREDIT MIS'!I:I,'Aug Dashboard.'!A5,'Aug-24 CREDIT MIS'!N:N,"Ajay Gupta",'Aug-24 CREDIT MIS'!S:S,"Sanction")/100000</f>
        <v>0</v>
      </c>
      <c r="G5" s="72">
        <f>COUNTIFS('Aug-24 CREDIT MIS'!U:U,"08-08-2024",'Aug-24 CREDIT MIS'!E:E,'Aug Dashboard.'!B5,'Aug-24 CREDIT MIS'!I:I,'Aug Dashboard.'!A5,'Aug-24 CREDIT MIS'!N:N,"Ajay Gupta",'Aug-24 CREDIT MIS'!S:S,"Reject")</f>
        <v>0</v>
      </c>
      <c r="H5" s="72">
        <f>SUMIFS('Aug-24 CREDIT MIS'!T:T,'Aug-24 CREDIT MIS'!U:U,"08-08-2024",'Aug-24 CREDIT MIS'!E:E,'Aug Dashboard.'!B5,'Aug-24 CREDIT MIS'!I:I,'Aug Dashboard.'!A5,'Aug-24 CREDIT MIS'!N:N,"Ajay Gupta",'Aug-24 CREDIT MIS'!S:S,"Reject")/100000</f>
        <v>0</v>
      </c>
      <c r="I5" s="72">
        <f t="shared" si="0"/>
        <v>0</v>
      </c>
      <c r="J5" s="72">
        <f t="shared" si="1"/>
        <v>0</v>
      </c>
      <c r="K5" s="72">
        <f>COUNTIFS('Aug-24 CREDIT MIS'!AE:AE,"08-08-2024",'Aug-24 CREDIT MIS'!E:E,'Aug Dashboard.'!B5,'Aug-24 CREDIT MIS'!I:I,'Aug Dashboard.'!A5,'Aug-24 CREDIT MIS'!N:N,"Ajay Gupta",'Aug-24 CREDIT MIS'!S:S,"Disbursed")</f>
        <v>0</v>
      </c>
      <c r="L5" s="72">
        <f>SUMIFS('Aug-24 CREDIT MIS'!V:V,'Aug-24 CREDIT MIS'!AE:AE,"08-08-2024",'Aug-24 CREDIT MIS'!E:E,'Aug Dashboard.'!B5,'Aug-24 CREDIT MIS'!I:I,'Aug Dashboard.'!A5,'Aug-24 CREDIT MIS'!N:N,"Ajay Gupta",'Aug-24 CREDIT MIS'!S:S,"Disbursed")/100000</f>
        <v>0</v>
      </c>
      <c r="M5" s="69"/>
      <c r="N5" s="69"/>
      <c r="O5" s="128"/>
      <c r="P5" s="128"/>
    </row>
    <row r="6" spans="1:16" x14ac:dyDescent="0.25">
      <c r="A6" s="74" t="s">
        <v>221</v>
      </c>
      <c r="B6" s="73" t="s">
        <v>4</v>
      </c>
      <c r="C6" s="72">
        <f>COUNTIFS('Aug-24 CREDIT MIS'!C:C,"08-08-2024",'Aug-24 CREDIT MIS'!E:E,'Aug Dashboard.'!B6,'Aug-24 CREDIT MIS'!I:I,'Aug Dashboard.'!A6,'Aug-24 CREDIT MIS'!N:N,"Ajay Gupta")</f>
        <v>0</v>
      </c>
      <c r="D6" s="72">
        <f>SUMIFS('Aug-24 CREDIT MIS'!T:T,'Aug-24 CREDIT MIS'!C:C,"08-08-2024",'Aug-24 CREDIT MIS'!E:E,'Aug Dashboard.'!B6,'Aug-24 CREDIT MIS'!I:I,'Aug Dashboard.'!A6,'Aug-24 CREDIT MIS'!N:N,"Ajay Gupta")/100000</f>
        <v>0</v>
      </c>
      <c r="E6" s="72">
        <f>COUNTIFS('Aug-24 CREDIT MIS'!U:U,"08-08-2024",'Aug-24 CREDIT MIS'!E:E,'Aug Dashboard.'!B6,'Aug-24 CREDIT MIS'!I:I,'Aug Dashboard.'!A6,'Aug-24 CREDIT MIS'!N:N,"Ajay Gupta",'Aug-24 CREDIT MIS'!S:S,"Sanction")</f>
        <v>0</v>
      </c>
      <c r="F6" s="72">
        <f>SUMIFS('Aug-24 CREDIT MIS'!V:V,'Aug-24 CREDIT MIS'!U:U,"08-08-2024",'Aug-24 CREDIT MIS'!E:E,'Aug Dashboard.'!B6,'Aug-24 CREDIT MIS'!I:I,'Aug Dashboard.'!A6,'Aug-24 CREDIT MIS'!N:N,"Ajay Gupta",'Aug-24 CREDIT MIS'!S:S,"Sanction")/100000</f>
        <v>0</v>
      </c>
      <c r="G6" s="72">
        <f>COUNTIFS('Aug-24 CREDIT MIS'!U:U,"08-08-2024",'Aug-24 CREDIT MIS'!E:E,'Aug Dashboard.'!B6,'Aug-24 CREDIT MIS'!I:I,'Aug Dashboard.'!A6,'Aug-24 CREDIT MIS'!N:N,"Ajay Gupta",'Aug-24 CREDIT MIS'!S:S,"Reject")</f>
        <v>0</v>
      </c>
      <c r="H6" s="72">
        <f>SUMIFS('Aug-24 CREDIT MIS'!T:T,'Aug-24 CREDIT MIS'!U:U,"08-08-2024",'Aug-24 CREDIT MIS'!E:E,'Aug Dashboard.'!B6,'Aug-24 CREDIT MIS'!I:I,'Aug Dashboard.'!A6,'Aug-24 CREDIT MIS'!N:N,"Ajay Gupta",'Aug-24 CREDIT MIS'!S:S,"Reject")/100000</f>
        <v>0</v>
      </c>
      <c r="I6" s="72">
        <f t="shared" si="0"/>
        <v>0</v>
      </c>
      <c r="J6" s="72">
        <f t="shared" si="1"/>
        <v>0</v>
      </c>
      <c r="K6" s="72">
        <f>COUNTIFS('Aug-24 CREDIT MIS'!AE:AE,"08-08-2024",'Aug-24 CREDIT MIS'!E:E,'Aug Dashboard.'!B6,'Aug-24 CREDIT MIS'!I:I,'Aug Dashboard.'!A6,'Aug-24 CREDIT MIS'!N:N,"Ajay Gupta",'Aug-24 CREDIT MIS'!S:S,"Disbursed")</f>
        <v>0</v>
      </c>
      <c r="L6" s="72">
        <f>SUMIFS('Aug-24 CREDIT MIS'!V:V,'Aug-24 CREDIT MIS'!AE:AE,"08-08-2024",'Aug-24 CREDIT MIS'!E:E,'Aug Dashboard.'!B6,'Aug-24 CREDIT MIS'!I:I,'Aug Dashboard.'!A6,'Aug-24 CREDIT MIS'!N:N,"Ajay Gupta",'Aug-24 CREDIT MIS'!S:S,"Disbursed")/100000</f>
        <v>0</v>
      </c>
      <c r="M6" s="69"/>
      <c r="N6" s="69"/>
      <c r="O6" s="128"/>
      <c r="P6" s="128"/>
    </row>
    <row r="7" spans="1:16" x14ac:dyDescent="0.25">
      <c r="A7" s="90" t="s">
        <v>219</v>
      </c>
      <c r="B7" s="73" t="s">
        <v>4</v>
      </c>
      <c r="C7" s="72">
        <f>COUNTIFS('Aug-24 CREDIT MIS'!C:C,"08-08-2024",'Aug-24 CREDIT MIS'!E:E,'Aug Dashboard.'!B7,'Aug-24 CREDIT MIS'!I:I,'Aug Dashboard.'!A7,'Aug-24 CREDIT MIS'!N:N,"Ajay Gupta")</f>
        <v>0</v>
      </c>
      <c r="D7" s="72">
        <f>SUMIFS('Aug-24 CREDIT MIS'!T:T,'Aug-24 CREDIT MIS'!C:C,"08-08-2024",'Aug-24 CREDIT MIS'!E:E,'Aug Dashboard.'!B7,'Aug-24 CREDIT MIS'!I:I,'Aug Dashboard.'!A7,'Aug-24 CREDIT MIS'!N:N,"Ajay Gupta")/100000</f>
        <v>0</v>
      </c>
      <c r="E7" s="72">
        <f>COUNTIFS('Aug-24 CREDIT MIS'!U:U,"08-08-2024",'Aug-24 CREDIT MIS'!E:E,'Aug Dashboard.'!B7,'Aug-24 CREDIT MIS'!I:I,'Aug Dashboard.'!A7,'Aug-24 CREDIT MIS'!N:N,"Ajay Gupta",'Aug-24 CREDIT MIS'!S:S,"Sanction")</f>
        <v>0</v>
      </c>
      <c r="F7" s="72">
        <f>SUMIFS('Aug-24 CREDIT MIS'!V:V,'Aug-24 CREDIT MIS'!U:U,"08-08-2024",'Aug-24 CREDIT MIS'!E:E,'Aug Dashboard.'!B7,'Aug-24 CREDIT MIS'!I:I,'Aug Dashboard.'!A7,'Aug-24 CREDIT MIS'!N:N,"Ajay Gupta",'Aug-24 CREDIT MIS'!S:S,"Sanction")/100000</f>
        <v>0</v>
      </c>
      <c r="G7" s="72">
        <f>COUNTIFS('Aug-24 CREDIT MIS'!U:U,"08-08-2024",'Aug-24 CREDIT MIS'!E:E,'Aug Dashboard.'!B7,'Aug-24 CREDIT MIS'!I:I,'Aug Dashboard.'!A7,'Aug-24 CREDIT MIS'!N:N,"Ajay Gupta",'Aug-24 CREDIT MIS'!S:S,"Reject")</f>
        <v>0</v>
      </c>
      <c r="H7" s="72">
        <f>SUMIFS('Aug-24 CREDIT MIS'!T:T,'Aug-24 CREDIT MIS'!U:U,"08-08-2024",'Aug-24 CREDIT MIS'!E:E,'Aug Dashboard.'!B7,'Aug-24 CREDIT MIS'!I:I,'Aug Dashboard.'!A7,'Aug-24 CREDIT MIS'!N:N,"Ajay Gupta",'Aug-24 CREDIT MIS'!S:S,"Reject")/100000</f>
        <v>0</v>
      </c>
      <c r="I7" s="72">
        <f t="shared" si="0"/>
        <v>0</v>
      </c>
      <c r="J7" s="72">
        <f t="shared" si="1"/>
        <v>0</v>
      </c>
      <c r="K7" s="72">
        <f>COUNTIFS('Aug-24 CREDIT MIS'!AE:AE,"08-08-2024",'Aug-24 CREDIT MIS'!E:E,'Aug Dashboard.'!B7,'Aug-24 CREDIT MIS'!I:I,'Aug Dashboard.'!A7,'Aug-24 CREDIT MIS'!N:N,"Ajay Gupta",'Aug-24 CREDIT MIS'!S:S,"Disbursed")</f>
        <v>0</v>
      </c>
      <c r="L7" s="72">
        <f>SUMIFS('Aug-24 CREDIT MIS'!V:V,'Aug-24 CREDIT MIS'!AE:AE,"08-08-2024",'Aug-24 CREDIT MIS'!E:E,'Aug Dashboard.'!B7,'Aug-24 CREDIT MIS'!I:I,'Aug Dashboard.'!A7,'Aug-24 CREDIT MIS'!N:N,"Ajay Gupta",'Aug-24 CREDIT MIS'!S:S,"Disbursed")/100000</f>
        <v>0</v>
      </c>
      <c r="M7" s="69"/>
      <c r="N7" s="69"/>
      <c r="O7" s="128"/>
      <c r="P7" s="128"/>
    </row>
    <row r="8" spans="1:16" x14ac:dyDescent="0.25">
      <c r="A8" s="90" t="s">
        <v>218</v>
      </c>
      <c r="B8" s="73" t="s">
        <v>4</v>
      </c>
      <c r="C8" s="72">
        <f>COUNTIFS('Aug-24 CREDIT MIS'!C:C,"08-08-2024",'Aug-24 CREDIT MIS'!E:E,'Aug Dashboard.'!B8,'Aug-24 CREDIT MIS'!I:I,'Aug Dashboard.'!A8,'Aug-24 CREDIT MIS'!N:N,"Ajay Gupta")</f>
        <v>0</v>
      </c>
      <c r="D8" s="72">
        <f>SUMIFS('Aug-24 CREDIT MIS'!T:T,'Aug-24 CREDIT MIS'!C:C,"08-08-2024",'Aug-24 CREDIT MIS'!E:E,'Aug Dashboard.'!B8,'Aug-24 CREDIT MIS'!I:I,'Aug Dashboard.'!A8,'Aug-24 CREDIT MIS'!N:N,"Ajay Gupta")/100000</f>
        <v>0</v>
      </c>
      <c r="E8" s="72">
        <f>COUNTIFS('Aug-24 CREDIT MIS'!U:U,"08-08-2024",'Aug-24 CREDIT MIS'!E:E,'Aug Dashboard.'!B8,'Aug-24 CREDIT MIS'!I:I,'Aug Dashboard.'!A8,'Aug-24 CREDIT MIS'!N:N,"Ajay Gupta",'Aug-24 CREDIT MIS'!S:S,"Sanction")</f>
        <v>0</v>
      </c>
      <c r="F8" s="72">
        <f>SUMIFS('Aug-24 CREDIT MIS'!V:V,'Aug-24 CREDIT MIS'!U:U,"08-08-2024",'Aug-24 CREDIT MIS'!E:E,'Aug Dashboard.'!B8,'Aug-24 CREDIT MIS'!I:I,'Aug Dashboard.'!A8,'Aug-24 CREDIT MIS'!N:N,"Ajay Gupta",'Aug-24 CREDIT MIS'!S:S,"Sanction")/100000</f>
        <v>0</v>
      </c>
      <c r="G8" s="72">
        <f>COUNTIFS('Aug-24 CREDIT MIS'!U:U,"08-08-2024",'Aug-24 CREDIT MIS'!E:E,'Aug Dashboard.'!B8,'Aug-24 CREDIT MIS'!I:I,'Aug Dashboard.'!A8,'Aug-24 CREDIT MIS'!N:N,"Ajay Gupta",'Aug-24 CREDIT MIS'!S:S,"Reject")</f>
        <v>0</v>
      </c>
      <c r="H8" s="72">
        <f>SUMIFS('Aug-24 CREDIT MIS'!T:T,'Aug-24 CREDIT MIS'!U:U,"08-08-2024",'Aug-24 CREDIT MIS'!E:E,'Aug Dashboard.'!B8,'Aug-24 CREDIT MIS'!I:I,'Aug Dashboard.'!A8,'Aug-24 CREDIT MIS'!N:N,"Ajay Gupta",'Aug-24 CREDIT MIS'!S:S,"Reject")/100000</f>
        <v>0</v>
      </c>
      <c r="I8" s="72">
        <f t="shared" si="0"/>
        <v>0</v>
      </c>
      <c r="J8" s="72">
        <f t="shared" si="1"/>
        <v>0</v>
      </c>
      <c r="K8" s="72">
        <f>COUNTIFS('Aug-24 CREDIT MIS'!AE:AE,"08-08-2024",'Aug-24 CREDIT MIS'!E:E,'Aug Dashboard.'!B8,'Aug-24 CREDIT MIS'!I:I,'Aug Dashboard.'!A8,'Aug-24 CREDIT MIS'!N:N,"Ajay Gupta",'Aug-24 CREDIT MIS'!S:S,"Disbursed")</f>
        <v>0</v>
      </c>
      <c r="L8" s="72">
        <f>SUMIFS('Aug-24 CREDIT MIS'!V:V,'Aug-24 CREDIT MIS'!AE:AE,"08-08-2024",'Aug-24 CREDIT MIS'!E:E,'Aug Dashboard.'!B8,'Aug-24 CREDIT MIS'!I:I,'Aug Dashboard.'!A8,'Aug-24 CREDIT MIS'!N:N,"Ajay Gupta",'Aug-24 CREDIT MIS'!S:S,"Disbursed")/100000</f>
        <v>0</v>
      </c>
      <c r="M8" s="69"/>
      <c r="N8" s="69"/>
      <c r="O8" s="128"/>
      <c r="P8" s="128"/>
    </row>
    <row r="9" spans="1:16" x14ac:dyDescent="0.25">
      <c r="A9" s="73" t="s">
        <v>216</v>
      </c>
      <c r="B9" s="91" t="s">
        <v>215</v>
      </c>
      <c r="C9" s="72">
        <f>COUNTIFS('Aug-24 CREDIT MIS'!C:C,"08-08-2024",'Aug-24 CREDIT MIS'!E:E,'Aug Dashboard.'!B9,'Aug-24 CREDIT MIS'!I:I,'Aug Dashboard.'!A9,'Aug-24 CREDIT MIS'!N:N,"Ajay Gupta")</f>
        <v>0</v>
      </c>
      <c r="D9" s="72">
        <f>SUMIFS('Aug-24 CREDIT MIS'!T:T,'Aug-24 CREDIT MIS'!C:C,"08-08-2024",'Aug-24 CREDIT MIS'!E:E,'Aug Dashboard.'!B9,'Aug-24 CREDIT MIS'!I:I,'Aug Dashboard.'!A9,'Aug-24 CREDIT MIS'!N:N,"Ajay Gupta")/100000</f>
        <v>0</v>
      </c>
      <c r="E9" s="72">
        <f>COUNTIFS('Aug-24 CREDIT MIS'!U:U,"08-08-2024",'Aug-24 CREDIT MIS'!E:E,'Aug Dashboard.'!B9,'Aug-24 CREDIT MIS'!I:I,'Aug Dashboard.'!A9,'Aug-24 CREDIT MIS'!N:N,"Ajay Gupta",'Aug-24 CREDIT MIS'!S:S,"Sanction")</f>
        <v>0</v>
      </c>
      <c r="F9" s="72">
        <f>SUMIFS('Aug-24 CREDIT MIS'!V:V,'Aug-24 CREDIT MIS'!U:U,"08-08-2024",'Aug-24 CREDIT MIS'!E:E,'Aug Dashboard.'!B9,'Aug-24 CREDIT MIS'!I:I,'Aug Dashboard.'!A9,'Aug-24 CREDIT MIS'!N:N,"Ajay Gupta",'Aug-24 CREDIT MIS'!S:S,"Sanction")/100000</f>
        <v>0</v>
      </c>
      <c r="G9" s="72">
        <f>COUNTIFS('Aug-24 CREDIT MIS'!U:U,"08-08-2024",'Aug-24 CREDIT MIS'!E:E,'Aug Dashboard.'!B9,'Aug-24 CREDIT MIS'!I:I,'Aug Dashboard.'!A9,'Aug-24 CREDIT MIS'!N:N,"Ajay Gupta",'Aug-24 CREDIT MIS'!S:S,"Reject")</f>
        <v>0</v>
      </c>
      <c r="H9" s="72">
        <f>SUMIFS('Aug-24 CREDIT MIS'!T:T,'Aug-24 CREDIT MIS'!U:U,"08-08-2024",'Aug-24 CREDIT MIS'!E:E,'Aug Dashboard.'!B9,'Aug-24 CREDIT MIS'!I:I,'Aug Dashboard.'!A9,'Aug-24 CREDIT MIS'!N:N,"Ajay Gupta",'Aug-24 CREDIT MIS'!S:S,"Reject")/100000</f>
        <v>0</v>
      </c>
      <c r="I9" s="72">
        <f t="shared" si="0"/>
        <v>0</v>
      </c>
      <c r="J9" s="72">
        <f t="shared" si="1"/>
        <v>0</v>
      </c>
      <c r="K9" s="72">
        <f>COUNTIFS('Aug-24 CREDIT MIS'!AE:AE,"08-08-2024",'Aug-24 CREDIT MIS'!E:E,'Aug Dashboard.'!B9,'Aug-24 CREDIT MIS'!I:I,'Aug Dashboard.'!A9,'Aug-24 CREDIT MIS'!N:N,"Ajay Gupta",'Aug-24 CREDIT MIS'!S:S,"Disbursed")</f>
        <v>0</v>
      </c>
      <c r="L9" s="72">
        <f>SUMIFS('Aug-24 CREDIT MIS'!V:V,'Aug-24 CREDIT MIS'!AE:AE,"08-08-2024",'Aug-24 CREDIT MIS'!E:E,'Aug Dashboard.'!B9,'Aug-24 CREDIT MIS'!I:I,'Aug Dashboard.'!A9,'Aug-24 CREDIT MIS'!N:N,"Ajay Gupta",'Aug-24 CREDIT MIS'!S:S,"Disbursed")/100000</f>
        <v>0</v>
      </c>
      <c r="M9" s="69"/>
      <c r="N9" s="69"/>
      <c r="O9" s="128"/>
      <c r="P9" s="128"/>
    </row>
    <row r="10" spans="1:16" x14ac:dyDescent="0.25">
      <c r="A10" s="74" t="s">
        <v>217</v>
      </c>
      <c r="B10" s="73" t="s">
        <v>43</v>
      </c>
      <c r="C10" s="72">
        <f>COUNTIFS('Aug-24 CREDIT MIS'!C:C,"08-08-2024",'Aug-24 CREDIT MIS'!E:E,'Aug Dashboard.'!B10,'Aug-24 CREDIT MIS'!I:I,'Aug Dashboard.'!A10,'Aug-24 CREDIT MIS'!N:N,"Ajay Gupta")</f>
        <v>3</v>
      </c>
      <c r="D10" s="72">
        <f>SUMIFS('Aug-24 CREDIT MIS'!T:T,'Aug-24 CREDIT MIS'!C:C,"08-08-2024",'Aug-24 CREDIT MIS'!E:E,'Aug Dashboard.'!B10,'Aug-24 CREDIT MIS'!I:I,'Aug Dashboard.'!A10,'Aug-24 CREDIT MIS'!N:N,"Ajay Gupta")/100000</f>
        <v>19.7</v>
      </c>
      <c r="E10" s="72">
        <f>COUNTIFS('Aug-24 CREDIT MIS'!U:U,"08-08-2024",'Aug-24 CREDIT MIS'!E:E,'Aug Dashboard.'!B10,'Aug-24 CREDIT MIS'!I:I,'Aug Dashboard.'!A10,'Aug-24 CREDIT MIS'!N:N,"Ajay Gupta",'Aug-24 CREDIT MIS'!S:S,"Sanction")</f>
        <v>0</v>
      </c>
      <c r="F10" s="72">
        <f>SUMIFS('Aug-24 CREDIT MIS'!V:V,'Aug-24 CREDIT MIS'!U:U,"08-08-2024",'Aug-24 CREDIT MIS'!E:E,'Aug Dashboard.'!B10,'Aug-24 CREDIT MIS'!I:I,'Aug Dashboard.'!A10,'Aug-24 CREDIT MIS'!N:N,"Ajay Gupta",'Aug-24 CREDIT MIS'!S:S,"Sanction")/100000</f>
        <v>0</v>
      </c>
      <c r="G10" s="72">
        <f>COUNTIFS('Aug-24 CREDIT MIS'!U:U,"08-08-2024",'Aug-24 CREDIT MIS'!E:E,'Aug Dashboard.'!B10,'Aug-24 CREDIT MIS'!I:I,'Aug Dashboard.'!A10,'Aug-24 CREDIT MIS'!N:N,"Ajay Gupta",'Aug-24 CREDIT MIS'!S:S,"Reject")</f>
        <v>0</v>
      </c>
      <c r="H10" s="72">
        <f>SUMIFS('Aug-24 CREDIT MIS'!T:T,'Aug-24 CREDIT MIS'!U:U,"08-08-2024",'Aug-24 CREDIT MIS'!E:E,'Aug Dashboard.'!B10,'Aug-24 CREDIT MIS'!I:I,'Aug Dashboard.'!A10,'Aug-24 CREDIT MIS'!N:N,"Ajay Gupta",'Aug-24 CREDIT MIS'!S:S,"Reject")/100000</f>
        <v>0</v>
      </c>
      <c r="I10" s="72">
        <f t="shared" si="0"/>
        <v>0</v>
      </c>
      <c r="J10" s="72">
        <f t="shared" si="1"/>
        <v>0</v>
      </c>
      <c r="K10" s="72">
        <f>COUNTIFS('Aug-24 CREDIT MIS'!AE:AE,"08-08-2024",'Aug-24 CREDIT MIS'!E:E,'Aug Dashboard.'!B10,'Aug-24 CREDIT MIS'!I:I,'Aug Dashboard.'!A10,'Aug-24 CREDIT MIS'!N:N,"Ajay Gupta",'Aug-24 CREDIT MIS'!S:S,"Disbursed")</f>
        <v>0</v>
      </c>
      <c r="L10" s="72">
        <f>SUMIFS('Aug-24 CREDIT MIS'!V:V,'Aug-24 CREDIT MIS'!AE:AE,"08-08-2024",'Aug-24 CREDIT MIS'!E:E,'Aug Dashboard.'!B10,'Aug-24 CREDIT MIS'!I:I,'Aug Dashboard.'!A10,'Aug-24 CREDIT MIS'!N:N,"Ajay Gupta",'Aug-24 CREDIT MIS'!S:S,"Disbursed")/100000</f>
        <v>0</v>
      </c>
      <c r="M10" s="69"/>
      <c r="N10" s="69"/>
      <c r="O10" s="128"/>
      <c r="P10" s="128"/>
    </row>
    <row r="11" spans="1:16" x14ac:dyDescent="0.25">
      <c r="A11" s="80" t="s">
        <v>214</v>
      </c>
      <c r="B11" s="73" t="s">
        <v>68</v>
      </c>
      <c r="C11" s="72">
        <f>COUNTIFS('Aug-24 CREDIT MIS'!C:C,"08-08-2024",'Aug-24 CREDIT MIS'!E:E,'Aug Dashboard.'!B11,'Aug-24 CREDIT MIS'!I:I,'Aug Dashboard.'!A11,'Aug-24 CREDIT MIS'!N:N,"Ajay Gupta")</f>
        <v>0</v>
      </c>
      <c r="D11" s="72">
        <f>SUMIFS('Aug-24 CREDIT MIS'!T:T,'Aug-24 CREDIT MIS'!C:C,"08-08-2024",'Aug-24 CREDIT MIS'!E:E,'Aug Dashboard.'!B11,'Aug-24 CREDIT MIS'!I:I,'Aug Dashboard.'!A11,'Aug-24 CREDIT MIS'!N:N,"Ajay Gupta")/100000</f>
        <v>0</v>
      </c>
      <c r="E11" s="72">
        <f>COUNTIFS('Aug-24 CREDIT MIS'!U:U,"08-08-2024",'Aug-24 CREDIT MIS'!E:E,'Aug Dashboard.'!B11,'Aug-24 CREDIT MIS'!I:I,'Aug Dashboard.'!A11,'Aug-24 CREDIT MIS'!N:N,"Ajay Gupta",'Aug-24 CREDIT MIS'!S:S,"Sanction")</f>
        <v>0</v>
      </c>
      <c r="F11" s="72">
        <f>SUMIFS('Aug-24 CREDIT MIS'!V:V,'Aug-24 CREDIT MIS'!U:U,"08-08-2024",'Aug-24 CREDIT MIS'!E:E,'Aug Dashboard.'!B11,'Aug-24 CREDIT MIS'!I:I,'Aug Dashboard.'!A11,'Aug-24 CREDIT MIS'!N:N,"Ajay Gupta",'Aug-24 CREDIT MIS'!S:S,"Sanction")/100000</f>
        <v>0</v>
      </c>
      <c r="G11" s="72">
        <f>COUNTIFS('Aug-24 CREDIT MIS'!U:U,"08-08-2024",'Aug-24 CREDIT MIS'!E:E,'Aug Dashboard.'!B11,'Aug-24 CREDIT MIS'!I:I,'Aug Dashboard.'!A11,'Aug-24 CREDIT MIS'!N:N,"Ajay Gupta",'Aug-24 CREDIT MIS'!S:S,"Reject")</f>
        <v>0</v>
      </c>
      <c r="H11" s="72">
        <f>SUMIFS('Aug-24 CREDIT MIS'!T:T,'Aug-24 CREDIT MIS'!U:U,"08-08-2024",'Aug-24 CREDIT MIS'!E:E,'Aug Dashboard.'!B11,'Aug-24 CREDIT MIS'!I:I,'Aug Dashboard.'!A11,'Aug-24 CREDIT MIS'!N:N,"Ajay Gupta",'Aug-24 CREDIT MIS'!S:S,"Reject")/100000</f>
        <v>0</v>
      </c>
      <c r="I11" s="72">
        <f t="shared" si="0"/>
        <v>0</v>
      </c>
      <c r="J11" s="72">
        <f t="shared" si="1"/>
        <v>0</v>
      </c>
      <c r="K11" s="72">
        <f>COUNTIFS('Aug-24 CREDIT MIS'!AE:AE,"08-08-2024",'Aug-24 CREDIT MIS'!E:E,'Aug Dashboard.'!B11,'Aug-24 CREDIT MIS'!I:I,'Aug Dashboard.'!A11,'Aug-24 CREDIT MIS'!N:N,"Ajay Gupta",'Aug-24 CREDIT MIS'!S:S,"Disbursed")</f>
        <v>0</v>
      </c>
      <c r="L11" s="72">
        <f>SUMIFS('Aug-24 CREDIT MIS'!V:V,'Aug-24 CREDIT MIS'!AE:AE,"08-08-2024",'Aug-24 CREDIT MIS'!E:E,'Aug Dashboard.'!B11,'Aug-24 CREDIT MIS'!I:I,'Aug Dashboard.'!A11,'Aug-24 CREDIT MIS'!N:N,"Ajay Gupta",'Aug-24 CREDIT MIS'!S:S,"Disbursed")/100000</f>
        <v>0</v>
      </c>
      <c r="M11" s="69"/>
      <c r="N11" s="69"/>
      <c r="O11" s="128"/>
      <c r="P11" s="128"/>
    </row>
    <row r="12" spans="1:16" x14ac:dyDescent="0.25">
      <c r="A12" s="77" t="s">
        <v>220</v>
      </c>
      <c r="B12" s="73" t="s">
        <v>11</v>
      </c>
      <c r="C12" s="72">
        <f>COUNTIFS('Aug-24 CREDIT MIS'!C:C,"08-08-2024",'Aug-24 CREDIT MIS'!E:E,'Aug Dashboard.'!B12,'Aug-24 CREDIT MIS'!I:I,'Aug Dashboard.'!A12,'Aug-24 CREDIT MIS'!N:N,"Ajay Gupta")</f>
        <v>0</v>
      </c>
      <c r="D12" s="72">
        <f>SUMIFS('Aug-24 CREDIT MIS'!T:T,'Aug-24 CREDIT MIS'!C:C,"08-08-2024",'Aug-24 CREDIT MIS'!E:E,'Aug Dashboard.'!B12,'Aug-24 CREDIT MIS'!I:I,'Aug Dashboard.'!A12,'Aug-24 CREDIT MIS'!N:N,"Ajay Gupta")/100000</f>
        <v>0</v>
      </c>
      <c r="E12" s="72">
        <f>COUNTIFS('Aug-24 CREDIT MIS'!U:U,"08-08-2024",'Aug-24 CREDIT MIS'!E:E,'Aug Dashboard.'!B12,'Aug-24 CREDIT MIS'!I:I,'Aug Dashboard.'!A12,'Aug-24 CREDIT MIS'!N:N,"Ajay Gupta",'Aug-24 CREDIT MIS'!S:S,"Sanction")</f>
        <v>0</v>
      </c>
      <c r="F12" s="72">
        <f>SUMIFS('Aug-24 CREDIT MIS'!V:V,'Aug-24 CREDIT MIS'!U:U,"08-08-2024",'Aug-24 CREDIT MIS'!E:E,'Aug Dashboard.'!B12,'Aug-24 CREDIT MIS'!I:I,'Aug Dashboard.'!A12,'Aug-24 CREDIT MIS'!N:N,"Ajay Gupta",'Aug-24 CREDIT MIS'!S:S,"Sanction")/100000</f>
        <v>0</v>
      </c>
      <c r="G12" s="72">
        <f>COUNTIFS('Aug-24 CREDIT MIS'!U:U,"08-08-2024",'Aug-24 CREDIT MIS'!E:E,'Aug Dashboard.'!B12,'Aug-24 CREDIT MIS'!I:I,'Aug Dashboard.'!A12,'Aug-24 CREDIT MIS'!N:N,"Ajay Gupta",'Aug-24 CREDIT MIS'!S:S,"Reject")</f>
        <v>0</v>
      </c>
      <c r="H12" s="72">
        <f>SUMIFS('Aug-24 CREDIT MIS'!T:T,'Aug-24 CREDIT MIS'!U:U,"08-08-2024",'Aug-24 CREDIT MIS'!E:E,'Aug Dashboard.'!B12,'Aug-24 CREDIT MIS'!I:I,'Aug Dashboard.'!A12,'Aug-24 CREDIT MIS'!N:N,"Ajay Gupta",'Aug-24 CREDIT MIS'!S:S,"Reject")/100000</f>
        <v>0</v>
      </c>
      <c r="I12" s="72">
        <f t="shared" si="0"/>
        <v>0</v>
      </c>
      <c r="J12" s="72">
        <f t="shared" si="1"/>
        <v>0</v>
      </c>
      <c r="K12" s="72">
        <f>COUNTIFS('Aug-24 CREDIT MIS'!AE:AE,"08-08-2024",'Aug-24 CREDIT MIS'!E:E,'Aug Dashboard.'!B12,'Aug-24 CREDIT MIS'!I:I,'Aug Dashboard.'!A12,'Aug-24 CREDIT MIS'!N:N,"Ajay Gupta",'Aug-24 CREDIT MIS'!S:S,"Disbursed")</f>
        <v>0</v>
      </c>
      <c r="L12" s="72">
        <f>SUMIFS('Aug-24 CREDIT MIS'!V:V,'Aug-24 CREDIT MIS'!AE:AE,"08-08-2024",'Aug-24 CREDIT MIS'!E:E,'Aug Dashboard.'!B12,'Aug-24 CREDIT MIS'!I:I,'Aug Dashboard.'!A12,'Aug-24 CREDIT MIS'!N:N,"Ajay Gupta",'Aug-24 CREDIT MIS'!S:S,"Disbursed")/100000</f>
        <v>0</v>
      </c>
      <c r="M12" s="69"/>
      <c r="N12" s="69"/>
      <c r="O12" s="128"/>
      <c r="P12" s="128"/>
    </row>
    <row r="13" spans="1:16" x14ac:dyDescent="0.25">
      <c r="A13" s="77" t="s">
        <v>213</v>
      </c>
      <c r="B13" s="94" t="s">
        <v>4</v>
      </c>
      <c r="C13" s="72">
        <f>COUNTIFS('Aug-24 CREDIT MIS'!C:C,"08-08-2024",'Aug-24 CREDIT MIS'!E:E,'Aug Dashboard.'!B13,'Aug-24 CREDIT MIS'!I:I,'Aug Dashboard.'!A13,'Aug-24 CREDIT MIS'!N:N,"Ajay Gupta")</f>
        <v>0</v>
      </c>
      <c r="D13" s="72">
        <f>SUMIFS('Aug-24 CREDIT MIS'!T:T,'Aug-24 CREDIT MIS'!C:C,"08-08-2024",'Aug-24 CREDIT MIS'!E:E,'Aug Dashboard.'!B13,'Aug-24 CREDIT MIS'!I:I,'Aug Dashboard.'!A13,'Aug-24 CREDIT MIS'!N:N,"Ajay Gupta")/100000</f>
        <v>0</v>
      </c>
      <c r="E13" s="72">
        <f>COUNTIFS('Aug-24 CREDIT MIS'!U:U,"08-08-2024",'Aug-24 CREDIT MIS'!E:E,'Aug Dashboard.'!B13,'Aug-24 CREDIT MIS'!I:I,'Aug Dashboard.'!A13,'Aug-24 CREDIT MIS'!N:N,"Ajay Gupta",'Aug-24 CREDIT MIS'!S:S,"Sanction")</f>
        <v>0</v>
      </c>
      <c r="F13" s="72">
        <f>SUMIFS('Aug-24 CREDIT MIS'!V:V,'Aug-24 CREDIT MIS'!U:U,"08-08-2024",'Aug-24 CREDIT MIS'!E:E,'Aug Dashboard.'!B13,'Aug-24 CREDIT MIS'!I:I,'Aug Dashboard.'!A13,'Aug-24 CREDIT MIS'!N:N,"Ajay Gupta",'Aug-24 CREDIT MIS'!S:S,"Sanction")/100000</f>
        <v>0</v>
      </c>
      <c r="G13" s="72">
        <f>COUNTIFS('Aug-24 CREDIT MIS'!U:U,"08-08-2024",'Aug-24 CREDIT MIS'!E:E,'Aug Dashboard.'!B13,'Aug-24 CREDIT MIS'!I:I,'Aug Dashboard.'!A13,'Aug-24 CREDIT MIS'!N:N,"Ajay Gupta",'Aug-24 CREDIT MIS'!S:S,"Reject")</f>
        <v>0</v>
      </c>
      <c r="H13" s="72">
        <f>SUMIFS('Aug-24 CREDIT MIS'!T:T,'Aug-24 CREDIT MIS'!U:U,"08-08-2024",'Aug-24 CREDIT MIS'!E:E,'Aug Dashboard.'!B13,'Aug-24 CREDIT MIS'!I:I,'Aug Dashboard.'!A13,'Aug-24 CREDIT MIS'!N:N,"Ajay Gupta",'Aug-24 CREDIT MIS'!S:S,"Reject")/100000</f>
        <v>0</v>
      </c>
      <c r="I13" s="72">
        <f t="shared" si="0"/>
        <v>0</v>
      </c>
      <c r="J13" s="72">
        <f t="shared" si="1"/>
        <v>0</v>
      </c>
      <c r="K13" s="72">
        <f>COUNTIFS('Aug-24 CREDIT MIS'!AE:AE,"08-08-2024",'Aug-24 CREDIT MIS'!E:E,'Aug Dashboard.'!B13,'Aug-24 CREDIT MIS'!I:I,'Aug Dashboard.'!A13,'Aug-24 CREDIT MIS'!N:N,"Ajay Gupta",'Aug-24 CREDIT MIS'!S:S,"Disbursed")</f>
        <v>0</v>
      </c>
      <c r="L13" s="72">
        <f>SUMIFS('Aug-24 CREDIT MIS'!V:V,'Aug-24 CREDIT MIS'!AE:AE,"08-08-2024",'Aug-24 CREDIT MIS'!E:E,'Aug Dashboard.'!B13,'Aug-24 CREDIT MIS'!I:I,'Aug Dashboard.'!A13,'Aug-24 CREDIT MIS'!N:N,"Ajay Gupta",'Aug-24 CREDIT MIS'!S:S,"Disbursed")/100000</f>
        <v>0</v>
      </c>
      <c r="M13" s="69"/>
      <c r="N13" s="69"/>
      <c r="O13" s="128"/>
      <c r="P13" s="128"/>
    </row>
    <row r="14" spans="1:16" ht="15.75" x14ac:dyDescent="0.25">
      <c r="A14" s="147" t="s">
        <v>511</v>
      </c>
      <c r="B14" s="94" t="s">
        <v>478</v>
      </c>
      <c r="C14" s="72">
        <f>COUNTIFS('Aug-24 CREDIT MIS'!C:C,"08-08-2024",'Aug-24 CREDIT MIS'!E:E,'Aug Dashboard.'!B14,'Aug-24 CREDIT MIS'!I:I,'Aug Dashboard.'!A14,'Aug-24 CREDIT MIS'!N:N,"Ajay Gupta")</f>
        <v>2</v>
      </c>
      <c r="D14" s="72">
        <f>SUMIFS('Aug-24 CREDIT MIS'!T:T,'Aug-24 CREDIT MIS'!C:C,"08-08-2024",'Aug-24 CREDIT MIS'!E:E,'Aug Dashboard.'!B14,'Aug-24 CREDIT MIS'!I:I,'Aug Dashboard.'!A14,'Aug-24 CREDIT MIS'!N:N,"Ajay Gupta")/100000</f>
        <v>11</v>
      </c>
      <c r="E14" s="72">
        <f>COUNTIFS('Aug-24 CREDIT MIS'!U:U,"08-08-2024",'Aug-24 CREDIT MIS'!E:E,'Aug Dashboard.'!B14,'Aug-24 CREDIT MIS'!I:I,'Aug Dashboard.'!A14,'Aug-24 CREDIT MIS'!N:N,"Ajay Gupta",'Aug-24 CREDIT MIS'!S:S,"Sanction")</f>
        <v>0</v>
      </c>
      <c r="F14" s="72">
        <f>SUMIFS('Aug-24 CREDIT MIS'!V:V,'Aug-24 CREDIT MIS'!U:U,"08-08-2024",'Aug-24 CREDIT MIS'!E:E,'Aug Dashboard.'!B14,'Aug-24 CREDIT MIS'!I:I,'Aug Dashboard.'!A14,'Aug-24 CREDIT MIS'!N:N,"Ajay Gupta",'Aug-24 CREDIT MIS'!S:S,"Sanction")/100000</f>
        <v>0</v>
      </c>
      <c r="G14" s="72">
        <f>COUNTIFS('Aug-24 CREDIT MIS'!U:U,"08-08-2024",'Aug-24 CREDIT MIS'!E:E,'Aug Dashboard.'!B14,'Aug-24 CREDIT MIS'!I:I,'Aug Dashboard.'!A14,'Aug-24 CREDIT MIS'!N:N,"Ajay Gupta",'Aug-24 CREDIT MIS'!S:S,"Reject")</f>
        <v>0</v>
      </c>
      <c r="H14" s="72">
        <f>SUMIFS('Aug-24 CREDIT MIS'!T:T,'Aug-24 CREDIT MIS'!U:U,"08-08-2024",'Aug-24 CREDIT MIS'!E:E,'Aug Dashboard.'!B14,'Aug-24 CREDIT MIS'!I:I,'Aug Dashboard.'!A14,'Aug-24 CREDIT MIS'!N:N,"Ajay Gupta",'Aug-24 CREDIT MIS'!S:S,"Reject")/100000</f>
        <v>0</v>
      </c>
      <c r="I14" s="72">
        <f t="shared" ref="I14" si="2">E14+G14</f>
        <v>0</v>
      </c>
      <c r="J14" s="72">
        <f t="shared" ref="J14" si="3">H14+F14</f>
        <v>0</v>
      </c>
      <c r="K14" s="72">
        <f>COUNTIFS('Aug-24 CREDIT MIS'!AE:AE,"08-08-2024",'Aug-24 CREDIT MIS'!E:E,'Aug Dashboard.'!B14,'Aug-24 CREDIT MIS'!I:I,'Aug Dashboard.'!A14,'Aug-24 CREDIT MIS'!N:N,"Ajay Gupta",'Aug-24 CREDIT MIS'!S:S,"Disbursed")</f>
        <v>0</v>
      </c>
      <c r="L14" s="72">
        <f>SUMIFS('Aug-24 CREDIT MIS'!V:V,'Aug-24 CREDIT MIS'!AE:AE,"08-08-2024",'Aug-24 CREDIT MIS'!E:E,'Aug Dashboard.'!B14,'Aug-24 CREDIT MIS'!I:I,'Aug Dashboard.'!A14,'Aug-24 CREDIT MIS'!N:N,"Ajay Gupta",'Aug-24 CREDIT MIS'!S:S,"Disbursed")/100000</f>
        <v>0</v>
      </c>
      <c r="M14" s="69"/>
      <c r="N14" s="69"/>
      <c r="O14" s="128"/>
      <c r="P14" s="128"/>
    </row>
    <row r="15" spans="1:16" x14ac:dyDescent="0.25">
      <c r="A15" s="58" t="s">
        <v>471</v>
      </c>
      <c r="B15" s="73" t="s">
        <v>81</v>
      </c>
      <c r="C15" s="72">
        <f>COUNTIFS('Aug-24 CREDIT MIS'!C:C,"08-08-2024",'Aug-24 CREDIT MIS'!E:E,'Aug Dashboard.'!B15,'Aug-24 CREDIT MIS'!I:I,'Aug Dashboard.'!A15,'Aug-24 CREDIT MIS'!N:N,"Ajay Gupta")</f>
        <v>0</v>
      </c>
      <c r="D15" s="72">
        <f>SUMIFS('Aug-24 CREDIT MIS'!T:T,'Aug-24 CREDIT MIS'!C:C,"08-08-2024",'Aug-24 CREDIT MIS'!E:E,'Aug Dashboard.'!B15,'Aug-24 CREDIT MIS'!I:I,'Aug Dashboard.'!A15,'Aug-24 CREDIT MIS'!N:N,"Ajay Gupta")/100000</f>
        <v>0</v>
      </c>
      <c r="E15" s="72">
        <f>COUNTIFS('Aug-24 CREDIT MIS'!U:U,"08-08-2024",'Aug-24 CREDIT MIS'!E:E,'Aug Dashboard.'!B15,'Aug-24 CREDIT MIS'!I:I,'Aug Dashboard.'!A15,'Aug-24 CREDIT MIS'!N:N,"Ajay Gupta",'Aug-24 CREDIT MIS'!S:S,"Sanction")</f>
        <v>0</v>
      </c>
      <c r="F15" s="72">
        <f>SUMIFS('Aug-24 CREDIT MIS'!V:V,'Aug-24 CREDIT MIS'!U:U,"08-08-2024",'Aug-24 CREDIT MIS'!E:E,'Aug Dashboard.'!B15,'Aug-24 CREDIT MIS'!I:I,'Aug Dashboard.'!A15,'Aug-24 CREDIT MIS'!N:N,"Ajay Gupta",'Aug-24 CREDIT MIS'!S:S,"Sanction")/100000</f>
        <v>0</v>
      </c>
      <c r="G15" s="72">
        <f>COUNTIFS('Aug-24 CREDIT MIS'!U:U,"08-08-2024",'Aug-24 CREDIT MIS'!E:E,'Aug Dashboard.'!B15,'Aug-24 CREDIT MIS'!I:I,'Aug Dashboard.'!A15,'Aug-24 CREDIT MIS'!N:N,"Ajay Gupta",'Aug-24 CREDIT MIS'!S:S,"Reject")</f>
        <v>0</v>
      </c>
      <c r="H15" s="72">
        <f>SUMIFS('Aug-24 CREDIT MIS'!T:T,'Aug-24 CREDIT MIS'!U:U,"08-08-2024",'Aug-24 CREDIT MIS'!E:E,'Aug Dashboard.'!B15,'Aug-24 CREDIT MIS'!I:I,'Aug Dashboard.'!A15,'Aug-24 CREDIT MIS'!N:N,"Ajay Gupta",'Aug-24 CREDIT MIS'!S:S,"Reject")/100000</f>
        <v>0</v>
      </c>
      <c r="I15" s="72">
        <f t="shared" si="0"/>
        <v>0</v>
      </c>
      <c r="J15" s="72">
        <f t="shared" si="1"/>
        <v>0</v>
      </c>
      <c r="K15" s="72">
        <f>COUNTIFS('Aug-24 CREDIT MIS'!AE:AE,"08-08-2024",'Aug-24 CREDIT MIS'!E:E,'Aug Dashboard.'!B15,'Aug-24 CREDIT MIS'!I:I,'Aug Dashboard.'!A15,'Aug-24 CREDIT MIS'!N:N,"Ajay Gupta",'Aug-24 CREDIT MIS'!S:S,"Disbursed")</f>
        <v>0</v>
      </c>
      <c r="L15" s="72">
        <f>SUMIFS('Aug-24 CREDIT MIS'!V:V,'Aug-24 CREDIT MIS'!AE:AE,"08-08-2024",'Aug-24 CREDIT MIS'!E:E,'Aug Dashboard.'!B15,'Aug-24 CREDIT MIS'!I:I,'Aug Dashboard.'!A15,'Aug-24 CREDIT MIS'!N:N,"Ajay Gupta",'Aug-24 CREDIT MIS'!S:S,"Disbursed")/100000</f>
        <v>0</v>
      </c>
      <c r="M15" s="69"/>
      <c r="N15" s="69"/>
      <c r="O15" s="128"/>
      <c r="P15" s="128"/>
    </row>
    <row r="16" spans="1:16" ht="15.6" customHeight="1" x14ac:dyDescent="0.25">
      <c r="A16" s="74" t="s">
        <v>212</v>
      </c>
      <c r="B16" s="73" t="s">
        <v>1</v>
      </c>
      <c r="C16" s="72">
        <f>COUNTIFS('Aug-24 CREDIT MIS'!C:C,"08-08-2024",'Aug-24 CREDIT MIS'!E:E,'Aug Dashboard.'!B16,'Aug-24 CREDIT MIS'!I:I,'Aug Dashboard.'!A16,'Aug-24 CREDIT MIS'!N:N,"Ajay Gupta")</f>
        <v>0</v>
      </c>
      <c r="D16" s="72">
        <f>SUMIFS('Aug-24 CREDIT MIS'!T:T,'Aug-24 CREDIT MIS'!C:C,"08-08-2024",'Aug-24 CREDIT MIS'!E:E,'Aug Dashboard.'!B16,'Aug-24 CREDIT MIS'!I:I,'Aug Dashboard.'!A16,'Aug-24 CREDIT MIS'!N:N,"Ajay Gupta")/100000</f>
        <v>0</v>
      </c>
      <c r="E16" s="72">
        <f>COUNTIFS('Aug-24 CREDIT MIS'!U:U,"08-08-2024",'Aug-24 CREDIT MIS'!E:E,'Aug Dashboard.'!B16,'Aug-24 CREDIT MIS'!I:I,'Aug Dashboard.'!A16,'Aug-24 CREDIT MIS'!N:N,"Ajay Gupta",'Aug-24 CREDIT MIS'!S:S,"Sanction")</f>
        <v>0</v>
      </c>
      <c r="F16" s="72">
        <f>SUMIFS('Aug-24 CREDIT MIS'!V:V,'Aug-24 CREDIT MIS'!U:U,"08-08-2024",'Aug-24 CREDIT MIS'!E:E,'Aug Dashboard.'!B16,'Aug-24 CREDIT MIS'!I:I,'Aug Dashboard.'!A16,'Aug-24 CREDIT MIS'!N:N,"Ajay Gupta",'Aug-24 CREDIT MIS'!S:S,"Sanction")/100000</f>
        <v>0</v>
      </c>
      <c r="G16" s="72">
        <f>COUNTIFS('Aug-24 CREDIT MIS'!U:U,"08-08-2024",'Aug-24 CREDIT MIS'!E:E,'Aug Dashboard.'!B16,'Aug-24 CREDIT MIS'!I:I,'Aug Dashboard.'!A16,'Aug-24 CREDIT MIS'!N:N,"Ajay Gupta",'Aug-24 CREDIT MIS'!S:S,"Reject")</f>
        <v>0</v>
      </c>
      <c r="H16" s="72">
        <f>SUMIFS('Aug-24 CREDIT MIS'!T:T,'Aug-24 CREDIT MIS'!U:U,"08-08-2024",'Aug-24 CREDIT MIS'!E:E,'Aug Dashboard.'!B16,'Aug-24 CREDIT MIS'!I:I,'Aug Dashboard.'!A16,'Aug-24 CREDIT MIS'!N:N,"Ajay Gupta",'Aug-24 CREDIT MIS'!S:S,"Reject")/100000</f>
        <v>0</v>
      </c>
      <c r="I16" s="72">
        <f t="shared" si="0"/>
        <v>0</v>
      </c>
      <c r="J16" s="72">
        <f t="shared" si="1"/>
        <v>0</v>
      </c>
      <c r="K16" s="72">
        <f>COUNTIFS('Aug-24 CREDIT MIS'!AE:AE,"08-08-2024",'Aug-24 CREDIT MIS'!E:E,'Aug Dashboard.'!B16,'Aug-24 CREDIT MIS'!I:I,'Aug Dashboard.'!A16,'Aug-24 CREDIT MIS'!N:N,"Ajay Gupta",'Aug-24 CREDIT MIS'!S:S,"Disbursed")</f>
        <v>0</v>
      </c>
      <c r="L16" s="72">
        <f>SUMIFS('Aug-24 CREDIT MIS'!V:V,'Aug-24 CREDIT MIS'!AE:AE,"08-08-2024",'Aug-24 CREDIT MIS'!E:E,'Aug Dashboard.'!B16,'Aug-24 CREDIT MIS'!I:I,'Aug Dashboard.'!A16,'Aug-24 CREDIT MIS'!N:N,"Ajay Gupta",'Aug-24 CREDIT MIS'!S:S,"Disbursed")/100000</f>
        <v>0</v>
      </c>
      <c r="M16" s="69"/>
      <c r="N16" s="69"/>
      <c r="O16" s="128"/>
      <c r="P16" s="128"/>
    </row>
    <row r="17" spans="1:16" x14ac:dyDescent="0.25">
      <c r="A17" s="171" t="s">
        <v>70</v>
      </c>
      <c r="B17" s="172"/>
      <c r="C17" s="83">
        <f t="shared" ref="C17:L17" si="4">SUM(C4:C16)</f>
        <v>6</v>
      </c>
      <c r="D17" s="83">
        <f t="shared" si="4"/>
        <v>37.700000000000003</v>
      </c>
      <c r="E17" s="83">
        <f t="shared" si="4"/>
        <v>0</v>
      </c>
      <c r="F17" s="83">
        <f t="shared" si="4"/>
        <v>0</v>
      </c>
      <c r="G17" s="83">
        <f t="shared" si="4"/>
        <v>0</v>
      </c>
      <c r="H17" s="83">
        <f t="shared" si="4"/>
        <v>0</v>
      </c>
      <c r="I17" s="83">
        <f t="shared" si="4"/>
        <v>0</v>
      </c>
      <c r="J17" s="83">
        <f t="shared" si="4"/>
        <v>0</v>
      </c>
      <c r="K17" s="83">
        <f t="shared" si="4"/>
        <v>0</v>
      </c>
      <c r="L17" s="83">
        <f t="shared" si="4"/>
        <v>0</v>
      </c>
      <c r="M17" s="69"/>
      <c r="N17" s="69"/>
      <c r="O17" s="128"/>
      <c r="P17" s="128"/>
    </row>
    <row r="18" spans="1:16" x14ac:dyDescent="0.25">
      <c r="A18" s="74" t="s">
        <v>211</v>
      </c>
      <c r="B18" s="73" t="s">
        <v>69</v>
      </c>
      <c r="C18" s="72">
        <f>COUNTIFS('Aug-24 CREDIT MIS'!C:C,"08-08-2024",'Aug-24 CREDIT MIS'!E:E,'Aug Dashboard.'!B18,'Aug-24 CREDIT MIS'!I:I,'Aug Dashboard.'!A18,'Aug-24 CREDIT MIS'!N:N,"Pradeep Kumar Rohlan")</f>
        <v>0</v>
      </c>
      <c r="D18" s="72">
        <f>SUMIFS('Aug-24 CREDIT MIS'!T:T,'Aug-24 CREDIT MIS'!C:C,"08-08-2024",'Aug-24 CREDIT MIS'!E:E,'Aug Dashboard.'!B18,'Aug-24 CREDIT MIS'!I:I,'Aug Dashboard.'!A18,'Aug-24 CREDIT MIS'!N:N,"Pradeep Kumar Rohlan")/100000</f>
        <v>0</v>
      </c>
      <c r="E18" s="72">
        <f>COUNTIFS('Aug-24 CREDIT MIS'!U:U,"08-08-2024",'Aug-24 CREDIT MIS'!E:E,'Aug Dashboard.'!B18,'Aug-24 CREDIT MIS'!I:I,'Aug Dashboard.'!A18,'Aug-24 CREDIT MIS'!N:N,"Pradeep Kumar Rohlan",'Aug-24 CREDIT MIS'!S:S,"Sanction")</f>
        <v>0</v>
      </c>
      <c r="F18" s="72">
        <f>SUMIFS('Aug-24 CREDIT MIS'!V:V,'Aug-24 CREDIT MIS'!U:U,"08-08-2024",'Aug-24 CREDIT MIS'!E:E,'Aug Dashboard.'!B18,'Aug-24 CREDIT MIS'!I:I,'Aug Dashboard.'!A18,'Aug-24 CREDIT MIS'!N:N,"Pradeep Kumar Rohlan",'Aug-24 CREDIT MIS'!S:S,"Sanction")/100000</f>
        <v>0</v>
      </c>
      <c r="G18" s="72">
        <f>COUNTIFS('Aug-24 CREDIT MIS'!U:U,"08-08-2024",'Aug-24 CREDIT MIS'!E:E,'Aug Dashboard.'!B18,'Aug-24 CREDIT MIS'!I:I,'Aug Dashboard.'!A18,'Aug-24 CREDIT MIS'!N:N,"Pradeep Kumar Rohlan",'Aug-24 CREDIT MIS'!S:S,"Reject")</f>
        <v>0</v>
      </c>
      <c r="H18" s="72">
        <f>SUMIFS('Aug-24 CREDIT MIS'!T:T,'Aug-24 CREDIT MIS'!U:U,"08-08-2024",'Aug-24 CREDIT MIS'!E:E,'Aug Dashboard.'!B18,'Aug-24 CREDIT MIS'!I:I,'Aug Dashboard.'!A18,'Aug-24 CREDIT MIS'!N:N,"Pradeep Kumar Rohlan",'Aug-24 CREDIT MIS'!S:S,"Reject")/100000</f>
        <v>0</v>
      </c>
      <c r="I18" s="72">
        <f t="shared" ref="I18:I33" si="5">E18+G18</f>
        <v>0</v>
      </c>
      <c r="J18" s="72">
        <f t="shared" ref="J18:J33" si="6">H18+F18</f>
        <v>0</v>
      </c>
      <c r="K18" s="72">
        <f>COUNTIFS('Aug-24 CREDIT MIS'!AE:AE,"08-08-2024",'Aug-24 CREDIT MIS'!E:E,'Aug Dashboard.'!B18,'Aug-24 CREDIT MIS'!I:I,'Aug Dashboard.'!A18,'Aug-24 CREDIT MIS'!N:N,"Pradeep Kumar Rohlan",'Aug-24 CREDIT MIS'!S:S,"Disbursed")</f>
        <v>0</v>
      </c>
      <c r="L18" s="72">
        <f>SUMIFS('Aug-24 CREDIT MIS'!V:V,'Aug-24 CREDIT MIS'!AE:AE,"08-08-2024",'Aug-24 CREDIT MIS'!E:E,'Aug Dashboard.'!B18,'Aug-24 CREDIT MIS'!I:I,'Aug Dashboard.'!A18,'Aug-24 CREDIT MIS'!N:N,"Pradeep Kumar Rohlan",'Aug-24 CREDIT MIS'!S:S,"Disbursed")/100000</f>
        <v>0</v>
      </c>
      <c r="M18" s="69"/>
      <c r="N18" s="69"/>
      <c r="O18" s="128"/>
      <c r="P18" s="128"/>
    </row>
    <row r="19" spans="1:16" x14ac:dyDescent="0.25">
      <c r="A19" s="74" t="s">
        <v>131</v>
      </c>
      <c r="B19" s="73" t="s">
        <v>2</v>
      </c>
      <c r="C19" s="72">
        <f>COUNTIFS('Aug-24 CREDIT MIS'!C:C,"08-08-2024",'Aug-24 CREDIT MIS'!E:E,'Aug Dashboard.'!B19,'Aug-24 CREDIT MIS'!I:I,'Aug Dashboard.'!A19,'Aug-24 CREDIT MIS'!N:N,"Pradeep Kumar Rohlan")</f>
        <v>0</v>
      </c>
      <c r="D19" s="72">
        <f>SUMIFS('Aug-24 CREDIT MIS'!T:T,'Aug-24 CREDIT MIS'!C:C,"08-08-2024",'Aug-24 CREDIT MIS'!E:E,'Aug Dashboard.'!B19,'Aug-24 CREDIT MIS'!I:I,'Aug Dashboard.'!A19,'Aug-24 CREDIT MIS'!N:N,"Pradeep Kumar Rohlan")/100000</f>
        <v>0</v>
      </c>
      <c r="E19" s="72">
        <f>COUNTIFS('Aug-24 CREDIT MIS'!U:U,"08-08-2024",'Aug-24 CREDIT MIS'!E:E,'Aug Dashboard.'!B19,'Aug-24 CREDIT MIS'!I:I,'Aug Dashboard.'!A19,'Aug-24 CREDIT MIS'!N:N,"Pradeep Kumar Rohlan",'Aug-24 CREDIT MIS'!S:S,"Sanction")</f>
        <v>0</v>
      </c>
      <c r="F19" s="72">
        <f>SUMIFS('Aug-24 CREDIT MIS'!V:V,'Aug-24 CREDIT MIS'!U:U,"08-08-2024",'Aug-24 CREDIT MIS'!E:E,'Aug Dashboard.'!B19,'Aug-24 CREDIT MIS'!I:I,'Aug Dashboard.'!A19,'Aug-24 CREDIT MIS'!N:N,"Pradeep Kumar Rohlan",'Aug-24 CREDIT MIS'!S:S,"Sanction")/100000</f>
        <v>0</v>
      </c>
      <c r="G19" s="72">
        <f>COUNTIFS('Aug-24 CREDIT MIS'!U:U,"08-08-2024",'Aug-24 CREDIT MIS'!E:E,'Aug Dashboard.'!B19,'Aug-24 CREDIT MIS'!I:I,'Aug Dashboard.'!A19,'Aug-24 CREDIT MIS'!N:N,"Pradeep Kumar Rohlan",'Aug-24 CREDIT MIS'!S:S,"Reject")</f>
        <v>0</v>
      </c>
      <c r="H19" s="72">
        <f>SUMIFS('Aug-24 CREDIT MIS'!T:T,'Aug-24 CREDIT MIS'!U:U,"08-08-2024",'Aug-24 CREDIT MIS'!E:E,'Aug Dashboard.'!B19,'Aug-24 CREDIT MIS'!I:I,'Aug Dashboard.'!A19,'Aug-24 CREDIT MIS'!N:N,"Pradeep Kumar Rohlan",'Aug-24 CREDIT MIS'!S:S,"Reject")/100000</f>
        <v>0</v>
      </c>
      <c r="I19" s="72">
        <f t="shared" si="5"/>
        <v>0</v>
      </c>
      <c r="J19" s="72">
        <f t="shared" si="6"/>
        <v>0</v>
      </c>
      <c r="K19" s="72">
        <f>COUNTIFS('Aug-24 CREDIT MIS'!AE:AE,"08-08-2024",'Aug-24 CREDIT MIS'!E:E,'Aug Dashboard.'!B19,'Aug-24 CREDIT MIS'!I:I,'Aug Dashboard.'!A19,'Aug-24 CREDIT MIS'!N:N,"Pradeep Kumar Rohlan",'Aug-24 CREDIT MIS'!S:S,"Disbursed")</f>
        <v>0</v>
      </c>
      <c r="L19" s="72">
        <f>SUMIFS('Aug-24 CREDIT MIS'!V:V,'Aug-24 CREDIT MIS'!AE:AE,"08-08-2024",'Aug-24 CREDIT MIS'!E:E,'Aug Dashboard.'!B19,'Aug-24 CREDIT MIS'!I:I,'Aug Dashboard.'!A19,'Aug-24 CREDIT MIS'!N:N,"Pradeep Kumar Rohlan",'Aug-24 CREDIT MIS'!S:S,"Disbursed")/100000</f>
        <v>0</v>
      </c>
      <c r="M19" s="69"/>
      <c r="N19" s="69"/>
      <c r="O19" s="128"/>
      <c r="P19" s="128"/>
    </row>
    <row r="20" spans="1:16" x14ac:dyDescent="0.25">
      <c r="A20" s="94" t="s">
        <v>209</v>
      </c>
      <c r="B20" s="73" t="s">
        <v>60</v>
      </c>
      <c r="C20" s="72">
        <f>COUNTIFS('Aug-24 CREDIT MIS'!C:C,"08-08-2024",'Aug-24 CREDIT MIS'!E:E,'Aug Dashboard.'!B20,'Aug-24 CREDIT MIS'!I:I,'Aug Dashboard.'!A20,'Aug-24 CREDIT MIS'!N:N,"Pradeep Kumar Rohlan")</f>
        <v>0</v>
      </c>
      <c r="D20" s="72">
        <f>SUMIFS('Aug-24 CREDIT MIS'!T:T,'Aug-24 CREDIT MIS'!C:C,"08-08-2024",'Aug-24 CREDIT MIS'!E:E,'Aug Dashboard.'!B20,'Aug-24 CREDIT MIS'!I:I,'Aug Dashboard.'!A20,'Aug-24 CREDIT MIS'!N:N,"Pradeep Kumar Rohlan")/100000</f>
        <v>0</v>
      </c>
      <c r="E20" s="72">
        <f>COUNTIFS('Aug-24 CREDIT MIS'!U:U,"08-08-2024",'Aug-24 CREDIT MIS'!E:E,'Aug Dashboard.'!B20,'Aug-24 CREDIT MIS'!I:I,'Aug Dashboard.'!A20,'Aug-24 CREDIT MIS'!N:N,"Pradeep Kumar Rohlan",'Aug-24 CREDIT MIS'!S:S,"Sanction")</f>
        <v>0</v>
      </c>
      <c r="F20" s="72">
        <f>SUMIFS('Aug-24 CREDIT MIS'!V:V,'Aug-24 CREDIT MIS'!U:U,"08-08-2024",'Aug-24 CREDIT MIS'!E:E,'Aug Dashboard.'!B20,'Aug-24 CREDIT MIS'!I:I,'Aug Dashboard.'!A20,'Aug-24 CREDIT MIS'!N:N,"Pradeep Kumar Rohlan",'Aug-24 CREDIT MIS'!S:S,"Sanction")/100000</f>
        <v>0</v>
      </c>
      <c r="G20" s="72">
        <f>COUNTIFS('Aug-24 CREDIT MIS'!U:U,"08-08-2024",'Aug-24 CREDIT MIS'!E:E,'Aug Dashboard.'!B20,'Aug-24 CREDIT MIS'!I:I,'Aug Dashboard.'!A20,'Aug-24 CREDIT MIS'!N:N,"Pradeep Kumar Rohlan",'Aug-24 CREDIT MIS'!S:S,"Reject")</f>
        <v>0</v>
      </c>
      <c r="H20" s="72">
        <f>SUMIFS('Aug-24 CREDIT MIS'!T:T,'Aug-24 CREDIT MIS'!U:U,"08-08-2024",'Aug-24 CREDIT MIS'!E:E,'Aug Dashboard.'!B20,'Aug-24 CREDIT MIS'!I:I,'Aug Dashboard.'!A20,'Aug-24 CREDIT MIS'!N:N,"Pradeep Kumar Rohlan",'Aug-24 CREDIT MIS'!S:S,"Reject")/100000</f>
        <v>0</v>
      </c>
      <c r="I20" s="72">
        <f t="shared" si="5"/>
        <v>0</v>
      </c>
      <c r="J20" s="72">
        <f t="shared" si="6"/>
        <v>0</v>
      </c>
      <c r="K20" s="72">
        <f>COUNTIFS('Aug-24 CREDIT MIS'!AE:AE,"08-08-2024",'Aug-24 CREDIT MIS'!E:E,'Aug Dashboard.'!B20,'Aug-24 CREDIT MIS'!I:I,'Aug Dashboard.'!A20,'Aug-24 CREDIT MIS'!N:N,"Pradeep Kumar Rohlan",'Aug-24 CREDIT MIS'!S:S,"Disbursed")</f>
        <v>0</v>
      </c>
      <c r="L20" s="72">
        <f>SUMIFS('Aug-24 CREDIT MIS'!V:V,'Aug-24 CREDIT MIS'!AE:AE,"08-08-2024",'Aug-24 CREDIT MIS'!E:E,'Aug Dashboard.'!B20,'Aug-24 CREDIT MIS'!I:I,'Aug Dashboard.'!A20,'Aug-24 CREDIT MIS'!N:N,"Pradeep Kumar Rohlan",'Aug-24 CREDIT MIS'!S:S,"Disbursed")/100000</f>
        <v>0</v>
      </c>
      <c r="M20" s="69"/>
      <c r="N20" s="69"/>
      <c r="O20" s="128"/>
      <c r="P20" s="128"/>
    </row>
    <row r="21" spans="1:16" x14ac:dyDescent="0.25">
      <c r="A21" s="74" t="s">
        <v>132</v>
      </c>
      <c r="B21" s="73" t="s">
        <v>60</v>
      </c>
      <c r="C21" s="72">
        <f>COUNTIFS('Aug-24 CREDIT MIS'!C:C,"08-08-2024",'Aug-24 CREDIT MIS'!E:E,'Aug Dashboard.'!B21,'Aug-24 CREDIT MIS'!I:I,'Aug Dashboard.'!A21,'Aug-24 CREDIT MIS'!N:N,"Pradeep Kumar Rohlan")</f>
        <v>0</v>
      </c>
      <c r="D21" s="72">
        <f>SUMIFS('Aug-24 CREDIT MIS'!T:T,'Aug-24 CREDIT MIS'!C:C,"08-08-2024",'Aug-24 CREDIT MIS'!E:E,'Aug Dashboard.'!B21,'Aug-24 CREDIT MIS'!I:I,'Aug Dashboard.'!A21,'Aug-24 CREDIT MIS'!N:N,"Pradeep Kumar Rohlan")/100000</f>
        <v>0</v>
      </c>
      <c r="E21" s="72">
        <f>COUNTIFS('Aug-24 CREDIT MIS'!U:U,"08-08-2024",'Aug-24 CREDIT MIS'!E:E,'Aug Dashboard.'!B21,'Aug-24 CREDIT MIS'!I:I,'Aug Dashboard.'!A21,'Aug-24 CREDIT MIS'!N:N,"Pradeep Kumar Rohlan",'Aug-24 CREDIT MIS'!S:S,"Sanction")</f>
        <v>0</v>
      </c>
      <c r="F21" s="72">
        <f>SUMIFS('Aug-24 CREDIT MIS'!V:V,'Aug-24 CREDIT MIS'!U:U,"08-08-2024",'Aug-24 CREDIT MIS'!E:E,'Aug Dashboard.'!B21,'Aug-24 CREDIT MIS'!I:I,'Aug Dashboard.'!A21,'Aug-24 CREDIT MIS'!N:N,"Pradeep Kumar Rohlan",'Aug-24 CREDIT MIS'!S:S,"Sanction")/100000</f>
        <v>0</v>
      </c>
      <c r="G21" s="72">
        <f>COUNTIFS('Aug-24 CREDIT MIS'!U:U,"08-08-2024",'Aug-24 CREDIT MIS'!E:E,'Aug Dashboard.'!B21,'Aug-24 CREDIT MIS'!I:I,'Aug Dashboard.'!A21,'Aug-24 CREDIT MIS'!N:N,"Pradeep Kumar Rohlan",'Aug-24 CREDIT MIS'!S:S,"Reject")</f>
        <v>0</v>
      </c>
      <c r="H21" s="72">
        <f>SUMIFS('Aug-24 CREDIT MIS'!T:T,'Aug-24 CREDIT MIS'!U:U,"08-08-2024",'Aug-24 CREDIT MIS'!E:E,'Aug Dashboard.'!B21,'Aug-24 CREDIT MIS'!I:I,'Aug Dashboard.'!A21,'Aug-24 CREDIT MIS'!N:N,"Pradeep Kumar Rohlan",'Aug-24 CREDIT MIS'!S:S,"Reject")/100000</f>
        <v>0</v>
      </c>
      <c r="I21" s="72">
        <f t="shared" si="5"/>
        <v>0</v>
      </c>
      <c r="J21" s="72">
        <f t="shared" si="6"/>
        <v>0</v>
      </c>
      <c r="K21" s="72">
        <f>COUNTIFS('Aug-24 CREDIT MIS'!AE:AE,"08-08-2024",'Aug-24 CREDIT MIS'!E:E,'Aug Dashboard.'!B21,'Aug-24 CREDIT MIS'!I:I,'Aug Dashboard.'!A21,'Aug-24 CREDIT MIS'!N:N,"Pradeep Kumar Rohlan",'Aug-24 CREDIT MIS'!S:S,"Disbursed")</f>
        <v>0</v>
      </c>
      <c r="L21" s="72">
        <f>SUMIFS('Aug-24 CREDIT MIS'!V:V,'Aug-24 CREDIT MIS'!AE:AE,"08-08-2024",'Aug-24 CREDIT MIS'!E:E,'Aug Dashboard.'!B21,'Aug-24 CREDIT MIS'!I:I,'Aug Dashboard.'!A21,'Aug-24 CREDIT MIS'!N:N,"Pradeep Kumar Rohlan",'Aug-24 CREDIT MIS'!S:S,"Disbursed")/100000</f>
        <v>0</v>
      </c>
      <c r="M21" s="69"/>
      <c r="N21" s="69"/>
      <c r="O21" s="128"/>
      <c r="P21" s="128"/>
    </row>
    <row r="22" spans="1:16" x14ac:dyDescent="0.25">
      <c r="A22" s="74" t="s">
        <v>132</v>
      </c>
      <c r="B22" s="91" t="s">
        <v>76</v>
      </c>
      <c r="C22" s="72">
        <f>COUNTIFS('Aug-24 CREDIT MIS'!C:C,"08-08-2024",'Aug-24 CREDIT MIS'!E:E,'Aug Dashboard.'!B22,'Aug-24 CREDIT MIS'!I:I,'Aug Dashboard.'!A22,'Aug-24 CREDIT MIS'!N:N,"Pradeep Kumar Rohlan")</f>
        <v>0</v>
      </c>
      <c r="D22" s="72">
        <f>SUMIFS('Aug-24 CREDIT MIS'!T:T,'Aug-24 CREDIT MIS'!C:C,"08-08-2024",'Aug-24 CREDIT MIS'!E:E,'Aug Dashboard.'!B22,'Aug-24 CREDIT MIS'!I:I,'Aug Dashboard.'!A22,'Aug-24 CREDIT MIS'!N:N,"Pradeep Kumar Rohlan")/100000</f>
        <v>0</v>
      </c>
      <c r="E22" s="72">
        <f>COUNTIFS('Aug-24 CREDIT MIS'!U:U,"08-08-2024",'Aug-24 CREDIT MIS'!E:E,'Aug Dashboard.'!B22,'Aug-24 CREDIT MIS'!I:I,'Aug Dashboard.'!A22,'Aug-24 CREDIT MIS'!N:N,"Pradeep Kumar Rohlan",'Aug-24 CREDIT MIS'!S:S,"Sanction")</f>
        <v>0</v>
      </c>
      <c r="F22" s="72">
        <f>SUMIFS('Aug-24 CREDIT MIS'!V:V,'Aug-24 CREDIT MIS'!U:U,"08-08-2024",'Aug-24 CREDIT MIS'!E:E,'Aug Dashboard.'!B22,'Aug-24 CREDIT MIS'!I:I,'Aug Dashboard.'!A22,'Aug-24 CREDIT MIS'!N:N,"Pradeep Kumar Rohlan",'Aug-24 CREDIT MIS'!S:S,"Sanction")/100000</f>
        <v>0</v>
      </c>
      <c r="G22" s="72">
        <f>COUNTIFS('Aug-24 CREDIT MIS'!U:U,"08-08-2024",'Aug-24 CREDIT MIS'!E:E,'Aug Dashboard.'!B22,'Aug-24 CREDIT MIS'!I:I,'Aug Dashboard.'!A22,'Aug-24 CREDIT MIS'!N:N,"Pradeep Kumar Rohlan",'Aug-24 CREDIT MIS'!S:S,"Reject")</f>
        <v>0</v>
      </c>
      <c r="H22" s="72">
        <f>SUMIFS('Aug-24 CREDIT MIS'!T:T,'Aug-24 CREDIT MIS'!U:U,"08-08-2024",'Aug-24 CREDIT MIS'!E:E,'Aug Dashboard.'!B22,'Aug-24 CREDIT MIS'!I:I,'Aug Dashboard.'!A22,'Aug-24 CREDIT MIS'!N:N,"Pradeep Kumar Rohlan",'Aug-24 CREDIT MIS'!S:S,"Reject")/100000</f>
        <v>0</v>
      </c>
      <c r="I22" s="72">
        <f t="shared" si="5"/>
        <v>0</v>
      </c>
      <c r="J22" s="72">
        <f t="shared" si="6"/>
        <v>0</v>
      </c>
      <c r="K22" s="72">
        <f>COUNTIFS('Aug-24 CREDIT MIS'!AE:AE,"08-08-2024",'Aug-24 CREDIT MIS'!E:E,'Aug Dashboard.'!B22,'Aug-24 CREDIT MIS'!I:I,'Aug Dashboard.'!A22,'Aug-24 CREDIT MIS'!N:N,"Pradeep Kumar Rohlan",'Aug-24 CREDIT MIS'!S:S,"Disbursed")</f>
        <v>0</v>
      </c>
      <c r="L22" s="72">
        <f>SUMIFS('Aug-24 CREDIT MIS'!V:V,'Aug-24 CREDIT MIS'!AE:AE,"08-08-2024",'Aug-24 CREDIT MIS'!E:E,'Aug Dashboard.'!B22,'Aug-24 CREDIT MIS'!I:I,'Aug Dashboard.'!A22,'Aug-24 CREDIT MIS'!N:N,"Pradeep Kumar Rohlan",'Aug-24 CREDIT MIS'!S:S,"Disbursed")/100000</f>
        <v>0</v>
      </c>
      <c r="M22" s="69"/>
      <c r="N22" s="69"/>
      <c r="O22" s="128"/>
      <c r="P22" s="128"/>
    </row>
    <row r="23" spans="1:16" x14ac:dyDescent="0.25">
      <c r="A23" s="74" t="s">
        <v>208</v>
      </c>
      <c r="B23" s="73" t="s">
        <v>60</v>
      </c>
      <c r="C23" s="72">
        <f>COUNTIFS('Aug-24 CREDIT MIS'!C:C,"08-08-2024",'Aug-24 CREDIT MIS'!E:E,'Aug Dashboard.'!B23,'Aug-24 CREDIT MIS'!I:I,'Aug Dashboard.'!A23,'Aug-24 CREDIT MIS'!N:N,"Pradeep Kumar Rohlan")</f>
        <v>0</v>
      </c>
      <c r="D23" s="72">
        <f>SUMIFS('Aug-24 CREDIT MIS'!T:T,'Aug-24 CREDIT MIS'!C:C,"08-08-2024",'Aug-24 CREDIT MIS'!E:E,'Aug Dashboard.'!B23,'Aug-24 CREDIT MIS'!I:I,'Aug Dashboard.'!A23,'Aug-24 CREDIT MIS'!N:N,"Pradeep Kumar Rohlan")/100000</f>
        <v>0</v>
      </c>
      <c r="E23" s="72">
        <f>COUNTIFS('Aug-24 CREDIT MIS'!U:U,"08-08-2024",'Aug-24 CREDIT MIS'!E:E,'Aug Dashboard.'!B23,'Aug-24 CREDIT MIS'!I:I,'Aug Dashboard.'!A23,'Aug-24 CREDIT MIS'!N:N,"Pradeep Kumar Rohlan",'Aug-24 CREDIT MIS'!S:S,"Sanction")</f>
        <v>0</v>
      </c>
      <c r="F23" s="72">
        <f>SUMIFS('Aug-24 CREDIT MIS'!V:V,'Aug-24 CREDIT MIS'!U:U,"08-08-2024",'Aug-24 CREDIT MIS'!E:E,'Aug Dashboard.'!B23,'Aug-24 CREDIT MIS'!I:I,'Aug Dashboard.'!A23,'Aug-24 CREDIT MIS'!N:N,"Pradeep Kumar Rohlan",'Aug-24 CREDIT MIS'!S:S,"Sanction")/100000</f>
        <v>0</v>
      </c>
      <c r="G23" s="72">
        <f>COUNTIFS('Aug-24 CREDIT MIS'!U:U,"08-08-2024",'Aug-24 CREDIT MIS'!E:E,'Aug Dashboard.'!B23,'Aug-24 CREDIT MIS'!I:I,'Aug Dashboard.'!A23,'Aug-24 CREDIT MIS'!N:N,"Pradeep Kumar Rohlan",'Aug-24 CREDIT MIS'!S:S,"Reject")</f>
        <v>0</v>
      </c>
      <c r="H23" s="72">
        <f>SUMIFS('Aug-24 CREDIT MIS'!T:T,'Aug-24 CREDIT MIS'!U:U,"08-08-2024",'Aug-24 CREDIT MIS'!E:E,'Aug Dashboard.'!B23,'Aug-24 CREDIT MIS'!I:I,'Aug Dashboard.'!A23,'Aug-24 CREDIT MIS'!N:N,"Pradeep Kumar Rohlan",'Aug-24 CREDIT MIS'!S:S,"Reject")/100000</f>
        <v>0</v>
      </c>
      <c r="I23" s="72">
        <f t="shared" si="5"/>
        <v>0</v>
      </c>
      <c r="J23" s="72">
        <f t="shared" si="6"/>
        <v>0</v>
      </c>
      <c r="K23" s="72">
        <f>COUNTIFS('Aug-24 CREDIT MIS'!AE:AE,"08-08-2024",'Aug-24 CREDIT MIS'!E:E,'Aug Dashboard.'!B23,'Aug-24 CREDIT MIS'!I:I,'Aug Dashboard.'!A23,'Aug-24 CREDIT MIS'!N:N,"Pradeep Kumar Rohlan",'Aug-24 CREDIT MIS'!S:S,"Disbursed")</f>
        <v>0</v>
      </c>
      <c r="L23" s="72">
        <f>SUMIFS('Aug-24 CREDIT MIS'!V:V,'Aug-24 CREDIT MIS'!AE:AE,"08-08-2024",'Aug-24 CREDIT MIS'!E:E,'Aug Dashboard.'!B23,'Aug-24 CREDIT MIS'!I:I,'Aug Dashboard.'!A23,'Aug-24 CREDIT MIS'!N:N,"Pradeep Kumar Rohlan",'Aug-24 CREDIT MIS'!S:S,"Disbursed")/100000</f>
        <v>0</v>
      </c>
      <c r="M23" s="69"/>
      <c r="N23" s="69"/>
      <c r="O23" s="128"/>
      <c r="P23" s="128"/>
    </row>
    <row r="24" spans="1:16" x14ac:dyDescent="0.25">
      <c r="A24" s="74" t="s">
        <v>210</v>
      </c>
      <c r="B24" s="73" t="s">
        <v>60</v>
      </c>
      <c r="C24" s="72">
        <f>COUNTIFS('Aug-24 CREDIT MIS'!C:C,"08-08-2024",'Aug-24 CREDIT MIS'!E:E,'Aug Dashboard.'!B24,'Aug-24 CREDIT MIS'!I:I,'Aug Dashboard.'!A24,'Aug-24 CREDIT MIS'!N:N,"Pradeep Kumar Rohlan")</f>
        <v>0</v>
      </c>
      <c r="D24" s="72">
        <f>SUMIFS('Aug-24 CREDIT MIS'!T:T,'Aug-24 CREDIT MIS'!C:C,"08-08-2024",'Aug-24 CREDIT MIS'!E:E,'Aug Dashboard.'!B24,'Aug-24 CREDIT MIS'!I:I,'Aug Dashboard.'!A24,'Aug-24 CREDIT MIS'!N:N,"Pradeep Kumar Rohlan")/100000</f>
        <v>0</v>
      </c>
      <c r="E24" s="72">
        <f>COUNTIFS('Aug-24 CREDIT MIS'!U:U,"08-08-2024",'Aug-24 CREDIT MIS'!E:E,'Aug Dashboard.'!B24,'Aug-24 CREDIT MIS'!I:I,'Aug Dashboard.'!A24,'Aug-24 CREDIT MIS'!N:N,"Pradeep Kumar Rohlan",'Aug-24 CREDIT MIS'!S:S,"Sanction")</f>
        <v>0</v>
      </c>
      <c r="F24" s="72">
        <f>SUMIFS('Aug-24 CREDIT MIS'!V:V,'Aug-24 CREDIT MIS'!U:U,"08-08-2024",'Aug-24 CREDIT MIS'!E:E,'Aug Dashboard.'!B24,'Aug-24 CREDIT MIS'!I:I,'Aug Dashboard.'!A24,'Aug-24 CREDIT MIS'!N:N,"Pradeep Kumar Rohlan",'Aug-24 CREDIT MIS'!S:S,"Sanction")/100000</f>
        <v>0</v>
      </c>
      <c r="G24" s="72">
        <f>COUNTIFS('Aug-24 CREDIT MIS'!U:U,"08-08-2024",'Aug-24 CREDIT MIS'!E:E,'Aug Dashboard.'!B24,'Aug-24 CREDIT MIS'!I:I,'Aug Dashboard.'!A24,'Aug-24 CREDIT MIS'!N:N,"Pradeep Kumar Rohlan",'Aug-24 CREDIT MIS'!S:S,"Reject")</f>
        <v>0</v>
      </c>
      <c r="H24" s="72">
        <f>SUMIFS('Aug-24 CREDIT MIS'!T:T,'Aug-24 CREDIT MIS'!U:U,"08-08-2024",'Aug-24 CREDIT MIS'!E:E,'Aug Dashboard.'!B24,'Aug-24 CREDIT MIS'!I:I,'Aug Dashboard.'!A24,'Aug-24 CREDIT MIS'!N:N,"Pradeep Kumar Rohlan",'Aug-24 CREDIT MIS'!S:S,"Reject")/100000</f>
        <v>0</v>
      </c>
      <c r="I24" s="72">
        <f t="shared" si="5"/>
        <v>0</v>
      </c>
      <c r="J24" s="72">
        <f t="shared" si="6"/>
        <v>0</v>
      </c>
      <c r="K24" s="72">
        <f>COUNTIFS('Aug-24 CREDIT MIS'!AE:AE,"08-08-2024",'Aug-24 CREDIT MIS'!E:E,'Aug Dashboard.'!B24,'Aug-24 CREDIT MIS'!I:I,'Aug Dashboard.'!A24,'Aug-24 CREDIT MIS'!N:N,"Pradeep Kumar Rohlan",'Aug-24 CREDIT MIS'!S:S,"Disbursed")</f>
        <v>0</v>
      </c>
      <c r="L24" s="72">
        <f>SUMIFS('Aug-24 CREDIT MIS'!V:V,'Aug-24 CREDIT MIS'!AE:AE,"08-08-2024",'Aug-24 CREDIT MIS'!E:E,'Aug Dashboard.'!B24,'Aug-24 CREDIT MIS'!I:I,'Aug Dashboard.'!A24,'Aug-24 CREDIT MIS'!N:N,"Pradeep Kumar Rohlan",'Aug-24 CREDIT MIS'!S:S,"Disbursed")/100000</f>
        <v>0</v>
      </c>
      <c r="M24" s="69"/>
      <c r="N24" s="69"/>
      <c r="O24" s="128"/>
      <c r="P24" s="128"/>
    </row>
    <row r="25" spans="1:16" x14ac:dyDescent="0.25">
      <c r="A25" t="s">
        <v>502</v>
      </c>
      <c r="B25" s="73" t="s">
        <v>60</v>
      </c>
      <c r="C25" s="72">
        <f>COUNTIFS('Aug-24 CREDIT MIS'!C:C,"08-08-2024",'Aug-24 CREDIT MIS'!E:E,'Aug Dashboard.'!B25,'Aug-24 CREDIT MIS'!I:I,'Aug Dashboard.'!A25,'Aug-24 CREDIT MIS'!N:N,"Pradeep Kumar Rohlan")</f>
        <v>0</v>
      </c>
      <c r="D25" s="72">
        <f>SUMIFS('Aug-24 CREDIT MIS'!T:T,'Aug-24 CREDIT MIS'!C:C,"08-08-2024",'Aug-24 CREDIT MIS'!E:E,'Aug Dashboard.'!B25,'Aug-24 CREDIT MIS'!I:I,'Aug Dashboard.'!A25,'Aug-24 CREDIT MIS'!N:N,"Pradeep Kumar Rohlan")/100000</f>
        <v>0</v>
      </c>
      <c r="E25" s="72">
        <f>COUNTIFS('Aug-24 CREDIT MIS'!U:U,"08-08-2024",'Aug-24 CREDIT MIS'!E:E,'Aug Dashboard.'!B25,'Aug-24 CREDIT MIS'!I:I,'Aug Dashboard.'!A25,'Aug-24 CREDIT MIS'!N:N,"Pradeep Kumar Rohlan",'Aug-24 CREDIT MIS'!S:S,"Sanction")</f>
        <v>0</v>
      </c>
      <c r="F25" s="72">
        <f>SUMIFS('Aug-24 CREDIT MIS'!V:V,'Aug-24 CREDIT MIS'!U:U,"08-08-2024",'Aug-24 CREDIT MIS'!E:E,'Aug Dashboard.'!B25,'Aug-24 CREDIT MIS'!I:I,'Aug Dashboard.'!A25,'Aug-24 CREDIT MIS'!N:N,"Pradeep Kumar Rohlan",'Aug-24 CREDIT MIS'!S:S,"Sanction")/100000</f>
        <v>0</v>
      </c>
      <c r="G25" s="72">
        <f>COUNTIFS('Aug-24 CREDIT MIS'!U:U,"08-08-2024",'Aug-24 CREDIT MIS'!E:E,'Aug Dashboard.'!B25,'Aug-24 CREDIT MIS'!I:I,'Aug Dashboard.'!A25,'Aug-24 CREDIT MIS'!N:N,"Pradeep Kumar Rohlan",'Aug-24 CREDIT MIS'!S:S,"Reject")</f>
        <v>0</v>
      </c>
      <c r="H25" s="72">
        <f>SUMIFS('Aug-24 CREDIT MIS'!T:T,'Aug-24 CREDIT MIS'!U:U,"08-08-2024",'Aug-24 CREDIT MIS'!E:E,'Aug Dashboard.'!B25,'Aug-24 CREDIT MIS'!I:I,'Aug Dashboard.'!A25,'Aug-24 CREDIT MIS'!N:N,"Pradeep Kumar Rohlan",'Aug-24 CREDIT MIS'!S:S,"Reject")/100000</f>
        <v>0</v>
      </c>
      <c r="I25" s="72">
        <f t="shared" si="5"/>
        <v>0</v>
      </c>
      <c r="J25" s="72">
        <f t="shared" si="6"/>
        <v>0</v>
      </c>
      <c r="K25" s="72">
        <f>COUNTIFS('Aug-24 CREDIT MIS'!AE:AE,"08-08-2024",'Aug-24 CREDIT MIS'!E:E,'Aug Dashboard.'!B25,'Aug-24 CREDIT MIS'!I:I,'Aug Dashboard.'!A25,'Aug-24 CREDIT MIS'!N:N,"Pradeep Kumar Rohlan",'Aug-24 CREDIT MIS'!S:S,"Disbursed")</f>
        <v>0</v>
      </c>
      <c r="L25" s="72">
        <f>SUMIFS('Aug-24 CREDIT MIS'!V:V,'Aug-24 CREDIT MIS'!AE:AE,"08-08-2024",'Aug-24 CREDIT MIS'!E:E,'Aug Dashboard.'!B25,'Aug-24 CREDIT MIS'!I:I,'Aug Dashboard.'!A25,'Aug-24 CREDIT MIS'!N:N,"Pradeep Kumar Rohlan",'Aug-24 CREDIT MIS'!S:S,"Disbursed")/100000</f>
        <v>0</v>
      </c>
      <c r="M25" s="69"/>
      <c r="N25" s="69"/>
      <c r="O25" s="128"/>
      <c r="P25" s="128"/>
    </row>
    <row r="26" spans="1:16" x14ac:dyDescent="0.25">
      <c r="A26" s="74" t="s">
        <v>207</v>
      </c>
      <c r="B26" s="73" t="s">
        <v>60</v>
      </c>
      <c r="C26" s="72">
        <f>COUNTIFS('Aug-24 CREDIT MIS'!C:C,"08-08-2024",'Aug-24 CREDIT MIS'!E:E,'Aug Dashboard.'!B26,'Aug-24 CREDIT MIS'!I:I,'Aug Dashboard.'!A26,'Aug-24 CREDIT MIS'!N:N,"Pradeep Kumar Rohlan")</f>
        <v>0</v>
      </c>
      <c r="D26" s="72">
        <f>SUMIFS('Aug-24 CREDIT MIS'!T:T,'Aug-24 CREDIT MIS'!C:C,"08-08-2024",'Aug-24 CREDIT MIS'!E:E,'Aug Dashboard.'!B26,'Aug-24 CREDIT MIS'!I:I,'Aug Dashboard.'!A26,'Aug-24 CREDIT MIS'!N:N,"Pradeep Kumar Rohlan")/100000</f>
        <v>0</v>
      </c>
      <c r="E26" s="72">
        <f>COUNTIFS('Aug-24 CREDIT MIS'!U:U,"08-08-2024",'Aug-24 CREDIT MIS'!E:E,'Aug Dashboard.'!B26,'Aug-24 CREDIT MIS'!I:I,'Aug Dashboard.'!A26,'Aug-24 CREDIT MIS'!N:N,"Pradeep Kumar Rohlan",'Aug-24 CREDIT MIS'!S:S,"Sanction")</f>
        <v>0</v>
      </c>
      <c r="F26" s="72">
        <f>SUMIFS('Aug-24 CREDIT MIS'!V:V,'Aug-24 CREDIT MIS'!U:U,"08-08-2024",'Aug-24 CREDIT MIS'!E:E,'Aug Dashboard.'!B26,'Aug-24 CREDIT MIS'!I:I,'Aug Dashboard.'!A26,'Aug-24 CREDIT MIS'!N:N,"Pradeep Kumar Rohlan",'Aug-24 CREDIT MIS'!S:S,"Sanction")/100000</f>
        <v>0</v>
      </c>
      <c r="G26" s="72">
        <f>COUNTIFS('Aug-24 CREDIT MIS'!U:U,"08-08-2024",'Aug-24 CREDIT MIS'!E:E,'Aug Dashboard.'!B26,'Aug-24 CREDIT MIS'!I:I,'Aug Dashboard.'!A26,'Aug-24 CREDIT MIS'!N:N,"Pradeep Kumar Rohlan",'Aug-24 CREDIT MIS'!S:S,"Reject")</f>
        <v>0</v>
      </c>
      <c r="H26" s="72">
        <f>SUMIFS('Aug-24 CREDIT MIS'!T:T,'Aug-24 CREDIT MIS'!U:U,"08-08-2024",'Aug-24 CREDIT MIS'!E:E,'Aug Dashboard.'!B26,'Aug-24 CREDIT MIS'!I:I,'Aug Dashboard.'!A26,'Aug-24 CREDIT MIS'!N:N,"Pradeep Kumar Rohlan",'Aug-24 CREDIT MIS'!S:S,"Reject")/100000</f>
        <v>0</v>
      </c>
      <c r="I26" s="72">
        <f t="shared" si="5"/>
        <v>0</v>
      </c>
      <c r="J26" s="72">
        <f t="shared" si="6"/>
        <v>0</v>
      </c>
      <c r="K26" s="72">
        <f>COUNTIFS('Aug-24 CREDIT MIS'!AE:AE,"08-08-2024",'Aug-24 CREDIT MIS'!E:E,'Aug Dashboard.'!B26,'Aug-24 CREDIT MIS'!I:I,'Aug Dashboard.'!A26,'Aug-24 CREDIT MIS'!N:N,"Pradeep Kumar Rohlan",'Aug-24 CREDIT MIS'!S:S,"Disbursed")</f>
        <v>0</v>
      </c>
      <c r="L26" s="72">
        <f>SUMIFS('Aug-24 CREDIT MIS'!V:V,'Aug-24 CREDIT MIS'!AE:AE,"08-08-2024",'Aug-24 CREDIT MIS'!E:E,'Aug Dashboard.'!B26,'Aug-24 CREDIT MIS'!I:I,'Aug Dashboard.'!A26,'Aug-24 CREDIT MIS'!N:N,"Pradeep Kumar Rohlan",'Aug-24 CREDIT MIS'!S:S,"Disbursed")/100000</f>
        <v>0</v>
      </c>
      <c r="M26" s="69"/>
      <c r="N26" s="69"/>
      <c r="O26" s="128"/>
      <c r="P26" s="128"/>
    </row>
    <row r="27" spans="1:16" x14ac:dyDescent="0.25">
      <c r="A27" s="74" t="s">
        <v>206</v>
      </c>
      <c r="B27" s="73" t="s">
        <v>224</v>
      </c>
      <c r="C27" s="72">
        <f>COUNTIFS('Aug-24 CREDIT MIS'!C:C,"08-08-2024",'Aug-24 CREDIT MIS'!E:E,'Aug Dashboard.'!B27,'Aug-24 CREDIT MIS'!I:I,'Aug Dashboard.'!A27,'Aug-24 CREDIT MIS'!N:N,"Pradeep Kumar Rohlan")</f>
        <v>0</v>
      </c>
      <c r="D27" s="72">
        <f>SUMIFS('Aug-24 CREDIT MIS'!T:T,'Aug-24 CREDIT MIS'!C:C,"08-08-2024",'Aug-24 CREDIT MIS'!E:E,'Aug Dashboard.'!B27,'Aug-24 CREDIT MIS'!I:I,'Aug Dashboard.'!A27,'Aug-24 CREDIT MIS'!N:N,"Pradeep Kumar Rohlan")/100000</f>
        <v>0</v>
      </c>
      <c r="E27" s="72">
        <f>COUNTIFS('Aug-24 CREDIT MIS'!U:U,"08-08-2024",'Aug-24 CREDIT MIS'!E:E,'Aug Dashboard.'!B27,'Aug-24 CREDIT MIS'!I:I,'Aug Dashboard.'!A27,'Aug-24 CREDIT MIS'!N:N,"Pradeep Kumar Rohlan",'Aug-24 CREDIT MIS'!S:S,"Sanction")</f>
        <v>0</v>
      </c>
      <c r="F27" s="72">
        <f>SUMIFS('Aug-24 CREDIT MIS'!V:V,'Aug-24 CREDIT MIS'!U:U,"08-08-2024",'Aug-24 CREDIT MIS'!E:E,'Aug Dashboard.'!B27,'Aug-24 CREDIT MIS'!I:I,'Aug Dashboard.'!A27,'Aug-24 CREDIT MIS'!N:N,"Pradeep Kumar Rohlan",'Aug-24 CREDIT MIS'!S:S,"Sanction")/100000</f>
        <v>0</v>
      </c>
      <c r="G27" s="72">
        <f>COUNTIFS('Aug-24 CREDIT MIS'!U:U,"08-08-2024",'Aug-24 CREDIT MIS'!E:E,'Aug Dashboard.'!B27,'Aug-24 CREDIT MIS'!I:I,'Aug Dashboard.'!A27,'Aug-24 CREDIT MIS'!N:N,"Pradeep Kumar Rohlan",'Aug-24 CREDIT MIS'!S:S,"Reject")</f>
        <v>0</v>
      </c>
      <c r="H27" s="72">
        <f>SUMIFS('Aug-24 CREDIT MIS'!T:T,'Aug-24 CREDIT MIS'!U:U,"08-08-2024",'Aug-24 CREDIT MIS'!E:E,'Aug Dashboard.'!B27,'Aug-24 CREDIT MIS'!I:I,'Aug Dashboard.'!A27,'Aug-24 CREDIT MIS'!N:N,"Pradeep Kumar Rohlan",'Aug-24 CREDIT MIS'!S:S,"Reject")/100000</f>
        <v>0</v>
      </c>
      <c r="I27" s="72">
        <f t="shared" si="5"/>
        <v>0</v>
      </c>
      <c r="J27" s="72">
        <f t="shared" si="6"/>
        <v>0</v>
      </c>
      <c r="K27" s="72">
        <f>COUNTIFS('Aug-24 CREDIT MIS'!AE:AE,"08-08-2024",'Aug-24 CREDIT MIS'!E:E,'Aug Dashboard.'!B27,'Aug-24 CREDIT MIS'!I:I,'Aug Dashboard.'!A27,'Aug-24 CREDIT MIS'!N:N,"Pradeep Kumar Rohlan",'Aug-24 CREDIT MIS'!S:S,"Disbursed")</f>
        <v>0</v>
      </c>
      <c r="L27" s="72">
        <f>SUMIFS('Aug-24 CREDIT MIS'!V:V,'Aug-24 CREDIT MIS'!AE:AE,"08-08-2024",'Aug-24 CREDIT MIS'!E:E,'Aug Dashboard.'!B27,'Aug-24 CREDIT MIS'!I:I,'Aug Dashboard.'!A27,'Aug-24 CREDIT MIS'!N:N,"Pradeep Kumar Rohlan",'Aug-24 CREDIT MIS'!S:S,"Disbursed")/100000</f>
        <v>0</v>
      </c>
      <c r="M27" s="69"/>
      <c r="N27" s="69"/>
      <c r="O27" s="128"/>
      <c r="P27" s="128"/>
    </row>
    <row r="28" spans="1:16" x14ac:dyDescent="0.25">
      <c r="A28" s="74" t="s">
        <v>205</v>
      </c>
      <c r="B28" s="73" t="s">
        <v>2</v>
      </c>
      <c r="C28" s="72">
        <f>COUNTIFS('Aug-24 CREDIT MIS'!C:C,"08-08-2024",'Aug-24 CREDIT MIS'!E:E,'Aug Dashboard.'!B28,'Aug-24 CREDIT MIS'!I:I,'Aug Dashboard.'!A28,'Aug-24 CREDIT MIS'!N:N,"Pradeep Kumar Rohlan")</f>
        <v>1</v>
      </c>
      <c r="D28" s="72">
        <f>SUMIFS('Aug-24 CREDIT MIS'!T:T,'Aug-24 CREDIT MIS'!C:C,"08-08-2024",'Aug-24 CREDIT MIS'!E:E,'Aug Dashboard.'!B28,'Aug-24 CREDIT MIS'!I:I,'Aug Dashboard.'!A28,'Aug-24 CREDIT MIS'!N:N,"Pradeep Kumar Rohlan")/100000</f>
        <v>9</v>
      </c>
      <c r="E28" s="72">
        <f>COUNTIFS('Aug-24 CREDIT MIS'!U:U,"08-08-2024",'Aug-24 CREDIT MIS'!E:E,'Aug Dashboard.'!B28,'Aug-24 CREDIT MIS'!I:I,'Aug Dashboard.'!A28,'Aug-24 CREDIT MIS'!N:N,"Pradeep Kumar Rohlan",'Aug-24 CREDIT MIS'!S:S,"Sanction")</f>
        <v>0</v>
      </c>
      <c r="F28" s="72">
        <f>SUMIFS('Aug-24 CREDIT MIS'!V:V,'Aug-24 CREDIT MIS'!U:U,"08-08-2024",'Aug-24 CREDIT MIS'!E:E,'Aug Dashboard.'!B28,'Aug-24 CREDIT MIS'!I:I,'Aug Dashboard.'!A28,'Aug-24 CREDIT MIS'!N:N,"Pradeep Kumar Rohlan",'Aug-24 CREDIT MIS'!S:S,"Sanction")/100000</f>
        <v>0</v>
      </c>
      <c r="G28" s="72">
        <f>COUNTIFS('Aug-24 CREDIT MIS'!U:U,"08-08-2024",'Aug-24 CREDIT MIS'!E:E,'Aug Dashboard.'!B28,'Aug-24 CREDIT MIS'!I:I,'Aug Dashboard.'!A28,'Aug-24 CREDIT MIS'!N:N,"Pradeep Kumar Rohlan",'Aug-24 CREDIT MIS'!S:S,"Reject")</f>
        <v>0</v>
      </c>
      <c r="H28" s="72">
        <f>SUMIFS('Aug-24 CREDIT MIS'!T:T,'Aug-24 CREDIT MIS'!U:U,"08-08-2024",'Aug-24 CREDIT MIS'!E:E,'Aug Dashboard.'!B28,'Aug-24 CREDIT MIS'!I:I,'Aug Dashboard.'!A28,'Aug-24 CREDIT MIS'!N:N,"Pradeep Kumar Rohlan",'Aug-24 CREDIT MIS'!S:S,"Reject")/100000</f>
        <v>0</v>
      </c>
      <c r="I28" s="72">
        <f t="shared" si="5"/>
        <v>0</v>
      </c>
      <c r="J28" s="72">
        <f t="shared" si="6"/>
        <v>0</v>
      </c>
      <c r="K28" s="72">
        <f>COUNTIFS('Aug-24 CREDIT MIS'!AE:AE,"08-08-2024",'Aug-24 CREDIT MIS'!E:E,'Aug Dashboard.'!B28,'Aug-24 CREDIT MIS'!I:I,'Aug Dashboard.'!A28,'Aug-24 CREDIT MIS'!N:N,"Pradeep Kumar Rohlan",'Aug-24 CREDIT MIS'!S:S,"Disbursed")</f>
        <v>0</v>
      </c>
      <c r="L28" s="72">
        <f>SUMIFS('Aug-24 CREDIT MIS'!V:V,'Aug-24 CREDIT MIS'!AE:AE,"08-08-2024",'Aug-24 CREDIT MIS'!E:E,'Aug Dashboard.'!B28,'Aug-24 CREDIT MIS'!I:I,'Aug Dashboard.'!A28,'Aug-24 CREDIT MIS'!N:N,"Pradeep Kumar Rohlan",'Aug-24 CREDIT MIS'!S:S,"Disbursed")/100000</f>
        <v>0</v>
      </c>
      <c r="M28" s="69"/>
      <c r="N28" s="69"/>
      <c r="O28" s="128"/>
      <c r="P28" s="128"/>
    </row>
    <row r="29" spans="1:16" x14ac:dyDescent="0.25">
      <c r="A29" s="81" t="s">
        <v>204</v>
      </c>
      <c r="B29" s="81" t="s">
        <v>75</v>
      </c>
      <c r="C29" s="72">
        <f>COUNTIFS('Aug-24 CREDIT MIS'!C:C,"08-08-2024",'Aug-24 CREDIT MIS'!E:E,'Aug Dashboard.'!B29,'Aug-24 CREDIT MIS'!I:I,'Aug Dashboard.'!A29,'Aug-24 CREDIT MIS'!N:N,"Pradeep Kumar Rohlan")</f>
        <v>1</v>
      </c>
      <c r="D29" s="72">
        <f>SUMIFS('Aug-24 CREDIT MIS'!T:T,'Aug-24 CREDIT MIS'!C:C,"08-08-2024",'Aug-24 CREDIT MIS'!E:E,'Aug Dashboard.'!B29,'Aug-24 CREDIT MIS'!I:I,'Aug Dashboard.'!A29,'Aug-24 CREDIT MIS'!N:N,"Pradeep Kumar Rohlan")/100000</f>
        <v>5</v>
      </c>
      <c r="E29" s="72">
        <f>COUNTIFS('Aug-24 CREDIT MIS'!U:U,"08-08-2024",'Aug-24 CREDIT MIS'!E:E,'Aug Dashboard.'!B29,'Aug-24 CREDIT MIS'!I:I,'Aug Dashboard.'!A29,'Aug-24 CREDIT MIS'!N:N,"Pradeep Kumar Rohlan",'Aug-24 CREDIT MIS'!S:S,"Sanction")</f>
        <v>0</v>
      </c>
      <c r="F29" s="72">
        <f>SUMIFS('Aug-24 CREDIT MIS'!V:V,'Aug-24 CREDIT MIS'!U:U,"08-08-2024",'Aug-24 CREDIT MIS'!E:E,'Aug Dashboard.'!B29,'Aug-24 CREDIT MIS'!I:I,'Aug Dashboard.'!A29,'Aug-24 CREDIT MIS'!N:N,"Pradeep Kumar Rohlan",'Aug-24 CREDIT MIS'!S:S,"Sanction")/100000</f>
        <v>0</v>
      </c>
      <c r="G29" s="72">
        <f>COUNTIFS('Aug-24 CREDIT MIS'!U:U,"08-08-2024",'Aug-24 CREDIT MIS'!E:E,'Aug Dashboard.'!B29,'Aug-24 CREDIT MIS'!I:I,'Aug Dashboard.'!A29,'Aug-24 CREDIT MIS'!N:N,"Pradeep Kumar Rohlan",'Aug-24 CREDIT MIS'!S:S,"Reject")</f>
        <v>0</v>
      </c>
      <c r="H29" s="72">
        <f>SUMIFS('Aug-24 CREDIT MIS'!T:T,'Aug-24 CREDIT MIS'!U:U,"08-08-2024",'Aug-24 CREDIT MIS'!E:E,'Aug Dashboard.'!B29,'Aug-24 CREDIT MIS'!I:I,'Aug Dashboard.'!A29,'Aug-24 CREDIT MIS'!N:N,"Pradeep Kumar Rohlan",'Aug-24 CREDIT MIS'!S:S,"Reject")/100000</f>
        <v>0</v>
      </c>
      <c r="I29" s="72">
        <f t="shared" si="5"/>
        <v>0</v>
      </c>
      <c r="J29" s="72">
        <f t="shared" si="6"/>
        <v>0</v>
      </c>
      <c r="K29" s="72">
        <f>COUNTIFS('Aug-24 CREDIT MIS'!AE:AE,"08-08-2024",'Aug-24 CREDIT MIS'!E:E,'Aug Dashboard.'!B29,'Aug-24 CREDIT MIS'!I:I,'Aug Dashboard.'!A29,'Aug-24 CREDIT MIS'!N:N,"Pradeep Kumar Rohlan",'Aug-24 CREDIT MIS'!S:S,"Disbursed")</f>
        <v>0</v>
      </c>
      <c r="L29" s="72">
        <f>SUMIFS('Aug-24 CREDIT MIS'!V:V,'Aug-24 CREDIT MIS'!AE:AE,"08-08-2024",'Aug-24 CREDIT MIS'!E:E,'Aug Dashboard.'!B29,'Aug-24 CREDIT MIS'!I:I,'Aug Dashboard.'!A29,'Aug-24 CREDIT MIS'!N:N,"Pradeep Kumar Rohlan",'Aug-24 CREDIT MIS'!S:S,"Disbursed")/100000</f>
        <v>0</v>
      </c>
      <c r="M29" s="69"/>
      <c r="N29" s="69"/>
      <c r="O29" s="128"/>
      <c r="P29" s="128"/>
    </row>
    <row r="30" spans="1:16" x14ac:dyDescent="0.25">
      <c r="A30" s="74" t="s">
        <v>202</v>
      </c>
      <c r="B30" s="73" t="s">
        <v>201</v>
      </c>
      <c r="C30" s="72">
        <f>COUNTIFS('Aug-24 CREDIT MIS'!C:C,"08-08-2024",'Aug-24 CREDIT MIS'!E:E,'Aug Dashboard.'!B30,'Aug-24 CREDIT MIS'!I:I,'Aug Dashboard.'!A30,'Aug-24 CREDIT MIS'!N:N,"Pradeep Kumar Rohlan")</f>
        <v>1</v>
      </c>
      <c r="D30" s="72">
        <f>SUMIFS('Aug-24 CREDIT MIS'!T:T,'Aug-24 CREDIT MIS'!C:C,"08-08-2024",'Aug-24 CREDIT MIS'!E:E,'Aug Dashboard.'!B30,'Aug-24 CREDIT MIS'!I:I,'Aug Dashboard.'!A30,'Aug-24 CREDIT MIS'!N:N,"Pradeep Kumar Rohlan")/100000</f>
        <v>5</v>
      </c>
      <c r="E30" s="72">
        <f>COUNTIFS('Aug-24 CREDIT MIS'!U:U,"08-08-2024",'Aug-24 CREDIT MIS'!E:E,'Aug Dashboard.'!B30,'Aug-24 CREDIT MIS'!I:I,'Aug Dashboard.'!A30,'Aug-24 CREDIT MIS'!N:N,"Pradeep Kumar Rohlan",'Aug-24 CREDIT MIS'!S:S,"Sanction")</f>
        <v>0</v>
      </c>
      <c r="F30" s="72">
        <f>SUMIFS('Aug-24 CREDIT MIS'!V:V,'Aug-24 CREDIT MIS'!U:U,"08-08-2024",'Aug-24 CREDIT MIS'!E:E,'Aug Dashboard.'!B30,'Aug-24 CREDIT MIS'!I:I,'Aug Dashboard.'!A30,'Aug-24 CREDIT MIS'!N:N,"Pradeep Kumar Rohlan",'Aug-24 CREDIT MIS'!S:S,"Sanction")/100000</f>
        <v>0</v>
      </c>
      <c r="G30" s="72">
        <f>COUNTIFS('Aug-24 CREDIT MIS'!U:U,"08-08-2024",'Aug-24 CREDIT MIS'!E:E,'Aug Dashboard.'!B30,'Aug-24 CREDIT MIS'!I:I,'Aug Dashboard.'!A30,'Aug-24 CREDIT MIS'!N:N,"Pradeep Kumar Rohlan",'Aug-24 CREDIT MIS'!S:S,"Reject")</f>
        <v>0</v>
      </c>
      <c r="H30" s="72">
        <f>SUMIFS('Aug-24 CREDIT MIS'!T:T,'Aug-24 CREDIT MIS'!U:U,"08-08-2024",'Aug-24 CREDIT MIS'!E:E,'Aug Dashboard.'!B30,'Aug-24 CREDIT MIS'!I:I,'Aug Dashboard.'!A30,'Aug-24 CREDIT MIS'!N:N,"Pradeep Kumar Rohlan",'Aug-24 CREDIT MIS'!S:S,"Reject")/100000</f>
        <v>0</v>
      </c>
      <c r="I30" s="72">
        <f t="shared" si="5"/>
        <v>0</v>
      </c>
      <c r="J30" s="72">
        <f t="shared" si="6"/>
        <v>0</v>
      </c>
      <c r="K30" s="72">
        <f>COUNTIFS('Aug-24 CREDIT MIS'!AE:AE,"08-08-2024",'Aug-24 CREDIT MIS'!E:E,'Aug Dashboard.'!B30,'Aug-24 CREDIT MIS'!I:I,'Aug Dashboard.'!A30,'Aug-24 CREDIT MIS'!N:N,"Pradeep Kumar Rohlan",'Aug-24 CREDIT MIS'!S:S,"Disbursed")</f>
        <v>0</v>
      </c>
      <c r="L30" s="72">
        <f>SUMIFS('Aug-24 CREDIT MIS'!V:V,'Aug-24 CREDIT MIS'!AE:AE,"08-08-2024",'Aug-24 CREDIT MIS'!E:E,'Aug Dashboard.'!B30,'Aug-24 CREDIT MIS'!I:I,'Aug Dashboard.'!A30,'Aug-24 CREDIT MIS'!N:N,"Pradeep Kumar Rohlan",'Aug-24 CREDIT MIS'!S:S,"Disbursed")/100000</f>
        <v>0</v>
      </c>
      <c r="M30" s="69"/>
      <c r="N30" s="69"/>
      <c r="O30" s="128"/>
      <c r="P30" s="128"/>
    </row>
    <row r="31" spans="1:16" x14ac:dyDescent="0.25">
      <c r="A31" s="93" t="s">
        <v>203</v>
      </c>
      <c r="B31" s="73" t="s">
        <v>76</v>
      </c>
      <c r="C31" s="72">
        <f>COUNTIFS('Aug-24 CREDIT MIS'!C:C,"08-08-2024",'Aug-24 CREDIT MIS'!E:E,'Aug Dashboard.'!B31,'Aug-24 CREDIT MIS'!I:I,'Aug Dashboard.'!A31,'Aug-24 CREDIT MIS'!N:N,"Pradeep Kumar Rohlan")</f>
        <v>0</v>
      </c>
      <c r="D31" s="72">
        <f>SUMIFS('Aug-24 CREDIT MIS'!T:T,'Aug-24 CREDIT MIS'!C:C,"08-08-2024",'Aug-24 CREDIT MIS'!E:E,'Aug Dashboard.'!B31,'Aug-24 CREDIT MIS'!I:I,'Aug Dashboard.'!A31,'Aug-24 CREDIT MIS'!N:N,"Pradeep Kumar Rohlan")/100000</f>
        <v>0</v>
      </c>
      <c r="E31" s="72">
        <f>COUNTIFS('Aug-24 CREDIT MIS'!U:U,"08-08-2024",'Aug-24 CREDIT MIS'!E:E,'Aug Dashboard.'!B31,'Aug-24 CREDIT MIS'!I:I,'Aug Dashboard.'!A31,'Aug-24 CREDIT MIS'!N:N,"Pradeep Kumar Rohlan",'Aug-24 CREDIT MIS'!S:S,"Sanction")</f>
        <v>0</v>
      </c>
      <c r="F31" s="72">
        <f>SUMIFS('Aug-24 CREDIT MIS'!V:V,'Aug-24 CREDIT MIS'!U:U,"08-08-2024",'Aug-24 CREDIT MIS'!E:E,'Aug Dashboard.'!B31,'Aug-24 CREDIT MIS'!I:I,'Aug Dashboard.'!A31,'Aug-24 CREDIT MIS'!N:N,"Pradeep Kumar Rohlan",'Aug-24 CREDIT MIS'!S:S,"Sanction")/100000</f>
        <v>0</v>
      </c>
      <c r="G31" s="72">
        <f>COUNTIFS('Aug-24 CREDIT MIS'!U:U,"08-08-2024",'Aug-24 CREDIT MIS'!E:E,'Aug Dashboard.'!B31,'Aug-24 CREDIT MIS'!I:I,'Aug Dashboard.'!A31,'Aug-24 CREDIT MIS'!N:N,"Pradeep Kumar Rohlan",'Aug-24 CREDIT MIS'!S:S,"Reject")</f>
        <v>0</v>
      </c>
      <c r="H31" s="72">
        <f>SUMIFS('Aug-24 CREDIT MIS'!T:T,'Aug-24 CREDIT MIS'!U:U,"08-08-2024",'Aug-24 CREDIT MIS'!E:E,'Aug Dashboard.'!B31,'Aug-24 CREDIT MIS'!I:I,'Aug Dashboard.'!A31,'Aug-24 CREDIT MIS'!N:N,"Pradeep Kumar Rohlan",'Aug-24 CREDIT MIS'!S:S,"Reject")/100000</f>
        <v>0</v>
      </c>
      <c r="I31" s="72">
        <f t="shared" si="5"/>
        <v>0</v>
      </c>
      <c r="J31" s="72">
        <f t="shared" si="6"/>
        <v>0</v>
      </c>
      <c r="K31" s="72">
        <f>COUNTIFS('Aug-24 CREDIT MIS'!AE:AE,"08-08-2024",'Aug-24 CREDIT MIS'!E:E,'Aug Dashboard.'!B31,'Aug-24 CREDIT MIS'!I:I,'Aug Dashboard.'!A31,'Aug-24 CREDIT MIS'!N:N,"Pradeep Kumar Rohlan",'Aug-24 CREDIT MIS'!S:S,"Disbursed")</f>
        <v>0</v>
      </c>
      <c r="L31" s="72">
        <f>SUMIFS('Aug-24 CREDIT MIS'!V:V,'Aug-24 CREDIT MIS'!AE:AE,"08-08-2024",'Aug-24 CREDIT MIS'!E:E,'Aug Dashboard.'!B31,'Aug-24 CREDIT MIS'!I:I,'Aug Dashboard.'!A31,'Aug-24 CREDIT MIS'!N:N,"Pradeep Kumar Rohlan",'Aug-24 CREDIT MIS'!S:S,"Disbursed")/100000</f>
        <v>0</v>
      </c>
      <c r="M31" s="69"/>
      <c r="N31" s="69"/>
      <c r="O31" s="128"/>
      <c r="P31" s="128"/>
    </row>
    <row r="32" spans="1:16" x14ac:dyDescent="0.25">
      <c r="A32" s="74" t="s">
        <v>197</v>
      </c>
      <c r="B32" s="73" t="s">
        <v>76</v>
      </c>
      <c r="C32" s="72">
        <f>COUNTIFS('Aug-24 CREDIT MIS'!C:C,"08-08-2024",'Aug-24 CREDIT MIS'!E:E,'Aug Dashboard.'!B32,'Aug-24 CREDIT MIS'!I:I,'Aug Dashboard.'!A32,'Aug-24 CREDIT MIS'!N:N,"Pradeep Kumar Rohlan")</f>
        <v>0</v>
      </c>
      <c r="D32" s="72">
        <f>SUMIFS('Aug-24 CREDIT MIS'!T:T,'Aug-24 CREDIT MIS'!C:C,"08-08-2024",'Aug-24 CREDIT MIS'!E:E,'Aug Dashboard.'!B32,'Aug-24 CREDIT MIS'!I:I,'Aug Dashboard.'!A32,'Aug-24 CREDIT MIS'!N:N,"Pradeep Kumar Rohlan")/100000</f>
        <v>0</v>
      </c>
      <c r="E32" s="72">
        <f>COUNTIFS('Aug-24 CREDIT MIS'!U:U,"08-08-2024",'Aug-24 CREDIT MIS'!E:E,'Aug Dashboard.'!B32,'Aug-24 CREDIT MIS'!I:I,'Aug Dashboard.'!A32,'Aug-24 CREDIT MIS'!N:N,"Pradeep Kumar Rohlan",'Aug-24 CREDIT MIS'!S:S,"Sanction")</f>
        <v>0</v>
      </c>
      <c r="F32" s="72">
        <f>SUMIFS('Aug-24 CREDIT MIS'!V:V,'Aug-24 CREDIT MIS'!U:U,"08-08-2024",'Aug-24 CREDIT MIS'!E:E,'Aug Dashboard.'!B32,'Aug-24 CREDIT MIS'!I:I,'Aug Dashboard.'!A32,'Aug-24 CREDIT MIS'!N:N,"Pradeep Kumar Rohlan",'Aug-24 CREDIT MIS'!S:S,"Sanction")/100000</f>
        <v>0</v>
      </c>
      <c r="G32" s="72">
        <f>COUNTIFS('Aug-24 CREDIT MIS'!U:U,"08-08-2024",'Aug-24 CREDIT MIS'!E:E,'Aug Dashboard.'!B32,'Aug-24 CREDIT MIS'!I:I,'Aug Dashboard.'!A32,'Aug-24 CREDIT MIS'!N:N,"Pradeep Kumar Rohlan",'Aug-24 CREDIT MIS'!S:S,"Reject")</f>
        <v>0</v>
      </c>
      <c r="H32" s="72">
        <f>SUMIFS('Aug-24 CREDIT MIS'!T:T,'Aug-24 CREDIT MIS'!U:U,"08-08-2024",'Aug-24 CREDIT MIS'!E:E,'Aug Dashboard.'!B32,'Aug-24 CREDIT MIS'!I:I,'Aug Dashboard.'!A32,'Aug-24 CREDIT MIS'!N:N,"Pradeep Kumar Rohlan",'Aug-24 CREDIT MIS'!S:S,"Reject")/100000</f>
        <v>0</v>
      </c>
      <c r="I32" s="72">
        <f t="shared" si="5"/>
        <v>0</v>
      </c>
      <c r="J32" s="72">
        <f t="shared" si="6"/>
        <v>0</v>
      </c>
      <c r="K32" s="72">
        <f>COUNTIFS('Aug-24 CREDIT MIS'!AE:AE,"08-08-2024",'Aug-24 CREDIT MIS'!E:E,'Aug Dashboard.'!B32,'Aug-24 CREDIT MIS'!I:I,'Aug Dashboard.'!A32,'Aug-24 CREDIT MIS'!N:N,"Pradeep Kumar Rohlan",'Aug-24 CREDIT MIS'!S:S,"Disbursed")</f>
        <v>0</v>
      </c>
      <c r="L32" s="72">
        <f>SUMIFS('Aug-24 CREDIT MIS'!V:V,'Aug-24 CREDIT MIS'!AE:AE,"08-08-2024",'Aug-24 CREDIT MIS'!E:E,'Aug Dashboard.'!B32,'Aug-24 CREDIT MIS'!I:I,'Aug Dashboard.'!A32,'Aug-24 CREDIT MIS'!N:N,"Pradeep Kumar Rohlan",'Aug-24 CREDIT MIS'!S:S,"Disbursed")/100000</f>
        <v>0</v>
      </c>
      <c r="M32" s="69"/>
      <c r="N32" s="69"/>
      <c r="O32" s="128"/>
      <c r="P32" s="128"/>
    </row>
    <row r="33" spans="1:16" ht="15" customHeight="1" x14ac:dyDescent="0.25">
      <c r="A33" s="92" t="s">
        <v>200</v>
      </c>
      <c r="B33" s="91" t="s">
        <v>19</v>
      </c>
      <c r="C33" s="72">
        <f>COUNTIFS('Aug-24 CREDIT MIS'!C:C,"08-08-2024",'Aug-24 CREDIT MIS'!E:E,'Aug Dashboard.'!B33,'Aug-24 CREDIT MIS'!I:I,'Aug Dashboard.'!A33,'Aug-24 CREDIT MIS'!N:N,"Pradeep Kumar Rohlan")</f>
        <v>0</v>
      </c>
      <c r="D33" s="72">
        <f>SUMIFS('Aug-24 CREDIT MIS'!T:T,'Aug-24 CREDIT MIS'!C:C,"08-08-2024",'Aug-24 CREDIT MIS'!E:E,'Aug Dashboard.'!B33,'Aug-24 CREDIT MIS'!I:I,'Aug Dashboard.'!A33,'Aug-24 CREDIT MIS'!N:N,"Pradeep Kumar Rohlan")/100000</f>
        <v>0</v>
      </c>
      <c r="E33" s="72">
        <f>COUNTIFS('Aug-24 CREDIT MIS'!U:U,"08-08-2024",'Aug-24 CREDIT MIS'!E:E,'Aug Dashboard.'!B33,'Aug-24 CREDIT MIS'!I:I,'Aug Dashboard.'!A33,'Aug-24 CREDIT MIS'!N:N,"Pradeep Kumar Rohlan",'Aug-24 CREDIT MIS'!S:S,"Sanction")</f>
        <v>0</v>
      </c>
      <c r="F33" s="72">
        <f>SUMIFS('Aug-24 CREDIT MIS'!V:V,'Aug-24 CREDIT MIS'!U:U,"08-08-2024",'Aug-24 CREDIT MIS'!E:E,'Aug Dashboard.'!B33,'Aug-24 CREDIT MIS'!I:I,'Aug Dashboard.'!A33,'Aug-24 CREDIT MIS'!N:N,"Pradeep Kumar Rohlan",'Aug-24 CREDIT MIS'!S:S,"Sanction")/100000</f>
        <v>0</v>
      </c>
      <c r="G33" s="72">
        <f>COUNTIFS('Aug-24 CREDIT MIS'!U:U,"08-08-2024",'Aug-24 CREDIT MIS'!E:E,'Aug Dashboard.'!B33,'Aug-24 CREDIT MIS'!I:I,'Aug Dashboard.'!A33,'Aug-24 CREDIT MIS'!N:N,"Pradeep Kumar Rohlan",'Aug-24 CREDIT MIS'!S:S,"Reject")</f>
        <v>0</v>
      </c>
      <c r="H33" s="72">
        <f>SUMIFS('Aug-24 CREDIT MIS'!T:T,'Aug-24 CREDIT MIS'!U:U,"08-08-2024",'Aug-24 CREDIT MIS'!E:E,'Aug Dashboard.'!B33,'Aug-24 CREDIT MIS'!I:I,'Aug Dashboard.'!A33,'Aug-24 CREDIT MIS'!N:N,"Pradeep Kumar Rohlan",'Aug-24 CREDIT MIS'!S:S,"Reject")/100000</f>
        <v>0</v>
      </c>
      <c r="I33" s="72">
        <f t="shared" si="5"/>
        <v>0</v>
      </c>
      <c r="J33" s="72">
        <f t="shared" si="6"/>
        <v>0</v>
      </c>
      <c r="K33" s="72">
        <f>COUNTIFS('Aug-24 CREDIT MIS'!AE:AE,"08-08-2024",'Aug-24 CREDIT MIS'!E:E,'Aug Dashboard.'!B33,'Aug-24 CREDIT MIS'!I:I,'Aug Dashboard.'!A33,'Aug-24 CREDIT MIS'!N:N,"Pradeep Kumar Rohlan",'Aug-24 CREDIT MIS'!S:S,"Disbursed")</f>
        <v>0</v>
      </c>
      <c r="L33" s="72">
        <f>SUMIFS('Aug-24 CREDIT MIS'!V:V,'Aug-24 CREDIT MIS'!AE:AE,"08-08-2024",'Aug-24 CREDIT MIS'!E:E,'Aug Dashboard.'!B33,'Aug-24 CREDIT MIS'!I:I,'Aug Dashboard.'!A33,'Aug-24 CREDIT MIS'!N:N,"Pradeep Kumar Rohlan",'Aug-24 CREDIT MIS'!S:S,"Disbursed")/100000</f>
        <v>0</v>
      </c>
      <c r="M33" s="69"/>
      <c r="N33" s="69"/>
      <c r="O33" s="128"/>
      <c r="P33" s="128"/>
    </row>
    <row r="34" spans="1:16" x14ac:dyDescent="0.25">
      <c r="A34" s="171" t="s">
        <v>199</v>
      </c>
      <c r="B34" s="172"/>
      <c r="C34" s="83">
        <f t="shared" ref="C34:L34" si="7">SUM(C18:C33)</f>
        <v>3</v>
      </c>
      <c r="D34" s="83">
        <f t="shared" si="7"/>
        <v>19</v>
      </c>
      <c r="E34" s="83">
        <f t="shared" si="7"/>
        <v>0</v>
      </c>
      <c r="F34" s="83">
        <f t="shared" si="7"/>
        <v>0</v>
      </c>
      <c r="G34" s="83">
        <f t="shared" si="7"/>
        <v>0</v>
      </c>
      <c r="H34" s="83">
        <f t="shared" si="7"/>
        <v>0</v>
      </c>
      <c r="I34" s="83">
        <f t="shared" si="7"/>
        <v>0</v>
      </c>
      <c r="J34" s="83">
        <f t="shared" si="7"/>
        <v>0</v>
      </c>
      <c r="K34" s="83">
        <f t="shared" si="7"/>
        <v>0</v>
      </c>
      <c r="L34" s="83">
        <f t="shared" si="7"/>
        <v>0</v>
      </c>
      <c r="M34" s="69"/>
      <c r="N34" s="69"/>
      <c r="O34" s="128"/>
      <c r="P34" s="128"/>
    </row>
    <row r="35" spans="1:16" x14ac:dyDescent="0.25">
      <c r="A35" s="74" t="s">
        <v>198</v>
      </c>
      <c r="B35" s="73" t="s">
        <v>20</v>
      </c>
      <c r="C35" s="72">
        <f>COUNTIFS('Aug-24 CREDIT MIS'!C:C,"08-08-2024",'Aug-24 CREDIT MIS'!E:E,'Aug Dashboard.'!B35,'Aug-24 CREDIT MIS'!I:I,'Aug Dashboard.'!A35,'Aug-24 CREDIT MIS'!N:N,"Sanjay Arya")</f>
        <v>0</v>
      </c>
      <c r="D35" s="72">
        <f>SUMIFS('Aug-24 CREDIT MIS'!T:T,'Aug-24 CREDIT MIS'!C:C,"08-08-2024",'Aug-24 CREDIT MIS'!E:E,'Aug Dashboard.'!B35,'Aug-24 CREDIT MIS'!I:I,'Aug Dashboard.'!A35,'Aug-24 CREDIT MIS'!N:N,"Sanjay Arya")/100000</f>
        <v>0</v>
      </c>
      <c r="E35" s="72">
        <f>COUNTIFS('Aug-24 CREDIT MIS'!U:U,"08-08-2024",'Aug-24 CREDIT MIS'!E:E,'Aug Dashboard.'!B35,'Aug-24 CREDIT MIS'!I:I,'Aug Dashboard.'!A35,'Aug-24 CREDIT MIS'!N:N,"Sanjay Arya",'Aug-24 CREDIT MIS'!S:S,"Sanction")</f>
        <v>0</v>
      </c>
      <c r="F35" s="72">
        <f>SUMIFS('Aug-24 CREDIT MIS'!V:V,'Aug-24 CREDIT MIS'!U:U,"08-08-2024",'Aug-24 CREDIT MIS'!E:E,'Aug Dashboard.'!B35,'Aug-24 CREDIT MIS'!I:I,'Aug Dashboard.'!A35,'Aug-24 CREDIT MIS'!N:N,"Sanjay Arya",'Aug-24 CREDIT MIS'!S:S,"Sanction")/100000</f>
        <v>0</v>
      </c>
      <c r="G35" s="72">
        <f>COUNTIFS('Aug-24 CREDIT MIS'!U:U,"08-08-2024",'Aug-24 CREDIT MIS'!E:E,'Aug Dashboard.'!B35,'Aug-24 CREDIT MIS'!I:I,'Aug Dashboard.'!A35,'Aug-24 CREDIT MIS'!N:N,"Sanjay Arya",'Aug-24 CREDIT MIS'!S:S,"Reject")</f>
        <v>0</v>
      </c>
      <c r="H35" s="72">
        <f>SUMIFS('Aug-24 CREDIT MIS'!T:T,'Aug-24 CREDIT MIS'!U:U,"08-08-2024",'Aug-24 CREDIT MIS'!E:E,'Aug Dashboard.'!B35,'Aug-24 CREDIT MIS'!I:I,'Aug Dashboard.'!A35,'Aug-24 CREDIT MIS'!N:N,"Sanjay Arya",'Aug-24 CREDIT MIS'!S:S,"Reject")/100000</f>
        <v>0</v>
      </c>
      <c r="I35" s="72">
        <f t="shared" ref="I35:I40" si="8">E35+G35</f>
        <v>0</v>
      </c>
      <c r="J35" s="72">
        <f t="shared" ref="J35:J40" si="9">H35+F35</f>
        <v>0</v>
      </c>
      <c r="K35" s="72">
        <f>COUNTIFS('Aug-24 CREDIT MIS'!AE:AE,"08-08-2024",'Aug-24 CREDIT MIS'!E:E,'Aug Dashboard.'!B35,'Aug-24 CREDIT MIS'!I:I,'Aug Dashboard.'!A35,'Aug-24 CREDIT MIS'!N:N,"Sanjay Arya",'Aug-24 CREDIT MIS'!S:S,"Disbursed")</f>
        <v>0</v>
      </c>
      <c r="L35" s="72">
        <f>SUMIFS('Aug-24 CREDIT MIS'!V:V,'Aug-24 CREDIT MIS'!AE:AE,"08-08-2024",'Aug-24 CREDIT MIS'!E:E,'Aug Dashboard.'!B35,'Aug-24 CREDIT MIS'!I:I,'Aug Dashboard.'!A35,'Aug-24 CREDIT MIS'!N:N,"Sanjay Arya",'Aug-24 CREDIT MIS'!S:S,"Disbursed")/100000</f>
        <v>0</v>
      </c>
      <c r="M35" s="69"/>
      <c r="N35" s="69"/>
      <c r="O35" s="128"/>
      <c r="P35" s="128"/>
    </row>
    <row r="36" spans="1:16" x14ac:dyDescent="0.25">
      <c r="A36" s="74" t="s">
        <v>196</v>
      </c>
      <c r="B36" s="73" t="s">
        <v>8</v>
      </c>
      <c r="C36" s="72">
        <f>COUNTIFS('Aug-24 CREDIT MIS'!C:C,"08-08-2024",'Aug-24 CREDIT MIS'!E:E,'Aug Dashboard.'!B36,'Aug-24 CREDIT MIS'!I:I,'Aug Dashboard.'!A36,'Aug-24 CREDIT MIS'!N:N,"Sanjay Arya")</f>
        <v>1</v>
      </c>
      <c r="D36" s="72">
        <f>SUMIFS('Aug-24 CREDIT MIS'!T:T,'Aug-24 CREDIT MIS'!C:C,"08-08-2024",'Aug-24 CREDIT MIS'!E:E,'Aug Dashboard.'!B36,'Aug-24 CREDIT MIS'!I:I,'Aug Dashboard.'!A36,'Aug-24 CREDIT MIS'!N:N,"Sanjay Arya")/100000</f>
        <v>7</v>
      </c>
      <c r="E36" s="72">
        <f>COUNTIFS('Aug-24 CREDIT MIS'!U:U,"08-08-2024",'Aug-24 CREDIT MIS'!E:E,'Aug Dashboard.'!B36,'Aug-24 CREDIT MIS'!I:I,'Aug Dashboard.'!A36,'Aug-24 CREDIT MIS'!N:N,"Sanjay Arya",'Aug-24 CREDIT MIS'!S:S,"Sanction")</f>
        <v>0</v>
      </c>
      <c r="F36" s="72">
        <f>SUMIFS('Aug-24 CREDIT MIS'!V:V,'Aug-24 CREDIT MIS'!U:U,"08-08-2024",'Aug-24 CREDIT MIS'!E:E,'Aug Dashboard.'!B36,'Aug-24 CREDIT MIS'!I:I,'Aug Dashboard.'!A36,'Aug-24 CREDIT MIS'!N:N,"Sanjay Arya",'Aug-24 CREDIT MIS'!S:S,"Sanction")/100000</f>
        <v>0</v>
      </c>
      <c r="G36" s="72">
        <f>COUNTIFS('Aug-24 CREDIT MIS'!U:U,"08-08-2024",'Aug-24 CREDIT MIS'!E:E,'Aug Dashboard.'!B36,'Aug-24 CREDIT MIS'!I:I,'Aug Dashboard.'!A36,'Aug-24 CREDIT MIS'!N:N,"Sanjay Arya",'Aug-24 CREDIT MIS'!S:S,"Reject")</f>
        <v>0</v>
      </c>
      <c r="H36" s="72">
        <f>SUMIFS('Aug-24 CREDIT MIS'!T:T,'Aug-24 CREDIT MIS'!U:U,"08-08-2024",'Aug-24 CREDIT MIS'!E:E,'Aug Dashboard.'!B36,'Aug-24 CREDIT MIS'!I:I,'Aug Dashboard.'!A36,'Aug-24 CREDIT MIS'!N:N,"Sanjay Arya",'Aug-24 CREDIT MIS'!S:S,"Reject")/100000</f>
        <v>0</v>
      </c>
      <c r="I36" s="72">
        <f t="shared" si="8"/>
        <v>0</v>
      </c>
      <c r="J36" s="72">
        <f t="shared" si="9"/>
        <v>0</v>
      </c>
      <c r="K36" s="72">
        <f>COUNTIFS('Aug-24 CREDIT MIS'!AE:AE,"08-08-2024",'Aug-24 CREDIT MIS'!E:E,'Aug Dashboard.'!B36,'Aug-24 CREDIT MIS'!I:I,'Aug Dashboard.'!A36,'Aug-24 CREDIT MIS'!N:N,"Sanjay Arya",'Aug-24 CREDIT MIS'!S:S,"Disbursed")</f>
        <v>0</v>
      </c>
      <c r="L36" s="72">
        <f>SUMIFS('Aug-24 CREDIT MIS'!V:V,'Aug-24 CREDIT MIS'!AE:AE,"08-08-2024",'Aug-24 CREDIT MIS'!E:E,'Aug Dashboard.'!B36,'Aug-24 CREDIT MIS'!I:I,'Aug Dashboard.'!A36,'Aug-24 CREDIT MIS'!N:N,"Sanjay Arya",'Aug-24 CREDIT MIS'!S:S,"Disbursed")/100000</f>
        <v>0</v>
      </c>
      <c r="M36" s="69"/>
      <c r="N36" s="69"/>
      <c r="O36" s="128"/>
      <c r="P36" s="128"/>
    </row>
    <row r="37" spans="1:16" x14ac:dyDescent="0.25">
      <c r="A37" s="51" t="s">
        <v>470</v>
      </c>
      <c r="B37" s="77" t="s">
        <v>79</v>
      </c>
      <c r="C37" s="72">
        <f>COUNTIFS('Aug-24 CREDIT MIS'!C:C,"08-08-2024",'Aug-24 CREDIT MIS'!E:E,'Aug Dashboard.'!B37,'Aug-24 CREDIT MIS'!I:I,'Aug Dashboard.'!A37,'Aug-24 CREDIT MIS'!N:N,"Sanjay Arya")</f>
        <v>1</v>
      </c>
      <c r="D37" s="72">
        <f>SUMIFS('Aug-24 CREDIT MIS'!T:T,'Aug-24 CREDIT MIS'!C:C,"08-08-2024",'Aug-24 CREDIT MIS'!E:E,'Aug Dashboard.'!B37,'Aug-24 CREDIT MIS'!I:I,'Aug Dashboard.'!A37,'Aug-24 CREDIT MIS'!N:N,"Sanjay Arya")/100000</f>
        <v>9</v>
      </c>
      <c r="E37" s="72">
        <f>COUNTIFS('Aug-24 CREDIT MIS'!U:U,"08-08-2024",'Aug-24 CREDIT MIS'!E:E,'Aug Dashboard.'!B37,'Aug-24 CREDIT MIS'!I:I,'Aug Dashboard.'!A37,'Aug-24 CREDIT MIS'!N:N,"Sanjay Arya",'Aug-24 CREDIT MIS'!S:S,"Sanction")</f>
        <v>0</v>
      </c>
      <c r="F37" s="72">
        <f>SUMIFS('Aug-24 CREDIT MIS'!V:V,'Aug-24 CREDIT MIS'!U:U,"08-08-2024",'Aug-24 CREDIT MIS'!E:E,'Aug Dashboard.'!B37,'Aug-24 CREDIT MIS'!I:I,'Aug Dashboard.'!A37,'Aug-24 CREDIT MIS'!N:N,"Sanjay Arya",'Aug-24 CREDIT MIS'!S:S,"Sanction")/100000</f>
        <v>0</v>
      </c>
      <c r="G37" s="72">
        <f>COUNTIFS('Aug-24 CREDIT MIS'!U:U,"08-08-2024",'Aug-24 CREDIT MIS'!E:E,'Aug Dashboard.'!B37,'Aug-24 CREDIT MIS'!I:I,'Aug Dashboard.'!A37,'Aug-24 CREDIT MIS'!N:N,"Sanjay Arya",'Aug-24 CREDIT MIS'!S:S,"Reject")</f>
        <v>0</v>
      </c>
      <c r="H37" s="72">
        <f>SUMIFS('Aug-24 CREDIT MIS'!T:T,'Aug-24 CREDIT MIS'!U:U,"08-08-2024",'Aug-24 CREDIT MIS'!E:E,'Aug Dashboard.'!B37,'Aug-24 CREDIT MIS'!I:I,'Aug Dashboard.'!A37,'Aug-24 CREDIT MIS'!N:N,"Sanjay Arya",'Aug-24 CREDIT MIS'!S:S,"Reject")/100000</f>
        <v>0</v>
      </c>
      <c r="I37" s="72">
        <f t="shared" si="8"/>
        <v>0</v>
      </c>
      <c r="J37" s="72">
        <f t="shared" si="9"/>
        <v>0</v>
      </c>
      <c r="K37" s="72">
        <f>COUNTIFS('Aug-24 CREDIT MIS'!AE:AE,"08-08-2024",'Aug-24 CREDIT MIS'!E:E,'Aug Dashboard.'!B37,'Aug-24 CREDIT MIS'!I:I,'Aug Dashboard.'!A37,'Aug-24 CREDIT MIS'!N:N,"Sanjay Arya",'Aug-24 CREDIT MIS'!S:S,"Disbursed")</f>
        <v>0</v>
      </c>
      <c r="L37" s="72">
        <f>SUMIFS('Aug-24 CREDIT MIS'!V:V,'Aug-24 CREDIT MIS'!AE:AE,"08-08-2024",'Aug-24 CREDIT MIS'!E:E,'Aug Dashboard.'!B37,'Aug-24 CREDIT MIS'!I:I,'Aug Dashboard.'!A37,'Aug-24 CREDIT MIS'!N:N,"Sanjay Arya",'Aug-24 CREDIT MIS'!S:S,"Disbursed")/100000</f>
        <v>0</v>
      </c>
      <c r="M37" s="69"/>
      <c r="N37" s="69"/>
      <c r="O37" s="128"/>
      <c r="P37" s="128"/>
    </row>
    <row r="38" spans="1:16" x14ac:dyDescent="0.25">
      <c r="A38" s="144" t="s">
        <v>489</v>
      </c>
      <c r="B38" s="25" t="s">
        <v>60</v>
      </c>
      <c r="C38" s="72">
        <f>COUNTIFS('Aug-24 CREDIT MIS'!C:C,"08-08-2024",'Aug-24 CREDIT MIS'!E:E,'Aug Dashboard.'!B38,'Aug-24 CREDIT MIS'!I:I,'Aug Dashboard.'!A38,'Aug-24 CREDIT MIS'!N:N,"Sanjay Arya")</f>
        <v>0</v>
      </c>
      <c r="D38" s="72">
        <f>SUMIFS('Aug-24 CREDIT MIS'!T:T,'Aug-24 CREDIT MIS'!C:C,"08-08-2024",'Aug-24 CREDIT MIS'!E:E,'Aug Dashboard.'!B38,'Aug-24 CREDIT MIS'!I:I,'Aug Dashboard.'!A38,'Aug-24 CREDIT MIS'!N:N,"Sanjay Arya")/100000</f>
        <v>0</v>
      </c>
      <c r="E38" s="72">
        <f>COUNTIFS('Aug-24 CREDIT MIS'!U:U,"08-08-2024",'Aug-24 CREDIT MIS'!E:E,'Aug Dashboard.'!B38,'Aug-24 CREDIT MIS'!I:I,'Aug Dashboard.'!A38,'Aug-24 CREDIT MIS'!N:N,"Sanjay Arya",'Aug-24 CREDIT MIS'!S:S,"Sanction")</f>
        <v>0</v>
      </c>
      <c r="F38" s="72">
        <f>SUMIFS('Aug-24 CREDIT MIS'!V:V,'Aug-24 CREDIT MIS'!U:U,"08-08-2024",'Aug-24 CREDIT MIS'!E:E,'Aug Dashboard.'!B38,'Aug-24 CREDIT MIS'!I:I,'Aug Dashboard.'!A38,'Aug-24 CREDIT MIS'!N:N,"Sanjay Arya",'Aug-24 CREDIT MIS'!S:S,"Sanction")/100000</f>
        <v>0</v>
      </c>
      <c r="G38" s="72">
        <f>COUNTIFS('Aug-24 CREDIT MIS'!U:U,"08-08-2024",'Aug-24 CREDIT MIS'!E:E,'Aug Dashboard.'!B38,'Aug-24 CREDIT MIS'!I:I,'Aug Dashboard.'!A38,'Aug-24 CREDIT MIS'!N:N,"Sanjay Arya",'Aug-24 CREDIT MIS'!S:S,"Reject")</f>
        <v>0</v>
      </c>
      <c r="H38" s="72">
        <f>SUMIFS('Aug-24 CREDIT MIS'!T:T,'Aug-24 CREDIT MIS'!U:U,"08-08-2024",'Aug-24 CREDIT MIS'!E:E,'Aug Dashboard.'!B38,'Aug-24 CREDIT MIS'!I:I,'Aug Dashboard.'!A38,'Aug-24 CREDIT MIS'!N:N,"Sanjay Arya",'Aug-24 CREDIT MIS'!S:S,"Reject")/100000</f>
        <v>0</v>
      </c>
      <c r="I38" s="72">
        <f t="shared" ref="I38" si="10">E38+G38</f>
        <v>0</v>
      </c>
      <c r="J38" s="72">
        <f t="shared" ref="J38" si="11">H38+F38</f>
        <v>0</v>
      </c>
      <c r="K38" s="72">
        <f>COUNTIFS('Aug-24 CREDIT MIS'!AE:AE,"08-08-2024",'Aug-24 CREDIT MIS'!E:E,'Aug Dashboard.'!B38,'Aug-24 CREDIT MIS'!I:I,'Aug Dashboard.'!A38,'Aug-24 CREDIT MIS'!N:N,"Sanjay Arya",'Aug-24 CREDIT MIS'!S:S,"Disbursed")</f>
        <v>0</v>
      </c>
      <c r="L38" s="72">
        <f>SUMIFS('Aug-24 CREDIT MIS'!V:V,'Aug-24 CREDIT MIS'!AE:AE,"08-08-2024",'Aug-24 CREDIT MIS'!E:E,'Aug Dashboard.'!B38,'Aug-24 CREDIT MIS'!I:I,'Aug Dashboard.'!A38,'Aug-24 CREDIT MIS'!N:N,"Sanjay Arya",'Aug-24 CREDIT MIS'!S:S,"Disbursed")/100000</f>
        <v>0</v>
      </c>
      <c r="M38" s="69"/>
      <c r="N38" s="69"/>
      <c r="O38" s="128"/>
      <c r="P38" s="128"/>
    </row>
    <row r="39" spans="1:16" x14ac:dyDescent="0.25">
      <c r="A39" s="144" t="s">
        <v>489</v>
      </c>
      <c r="B39" s="73" t="s">
        <v>8</v>
      </c>
      <c r="C39" s="72">
        <f>COUNTIFS('Aug-24 CREDIT MIS'!C:C,"08-08-2024",'Aug-24 CREDIT MIS'!E:E,'Aug Dashboard.'!B39,'Aug-24 CREDIT MIS'!I:I,'Aug Dashboard.'!A39,'Aug-24 CREDIT MIS'!N:N,"Sanjay Arya")</f>
        <v>0</v>
      </c>
      <c r="D39" s="72">
        <f>SUMIFS('Aug-24 CREDIT MIS'!T:T,'Aug-24 CREDIT MIS'!C:C,"08-08-2024",'Aug-24 CREDIT MIS'!E:E,'Aug Dashboard.'!B39,'Aug-24 CREDIT MIS'!I:I,'Aug Dashboard.'!A39,'Aug-24 CREDIT MIS'!N:N,"Sanjay Arya")/100000</f>
        <v>0</v>
      </c>
      <c r="E39" s="72">
        <f>COUNTIFS('Aug-24 CREDIT MIS'!U:U,"08-08-2024",'Aug-24 CREDIT MIS'!E:E,'Aug Dashboard.'!B39,'Aug-24 CREDIT MIS'!I:I,'Aug Dashboard.'!A39,'Aug-24 CREDIT MIS'!N:N,"Sanjay Arya",'Aug-24 CREDIT MIS'!S:S,"Sanction")</f>
        <v>0</v>
      </c>
      <c r="F39" s="72">
        <f>SUMIFS('Aug-24 CREDIT MIS'!V:V,'Aug-24 CREDIT MIS'!U:U,"08-08-2024",'Aug-24 CREDIT MIS'!E:E,'Aug Dashboard.'!B39,'Aug-24 CREDIT MIS'!I:I,'Aug Dashboard.'!A39,'Aug-24 CREDIT MIS'!N:N,"Sanjay Arya",'Aug-24 CREDIT MIS'!S:S,"Sanction")/100000</f>
        <v>0</v>
      </c>
      <c r="G39" s="72">
        <f>COUNTIFS('Aug-24 CREDIT MIS'!U:U,"08-08-2024",'Aug-24 CREDIT MIS'!E:E,'Aug Dashboard.'!B39,'Aug-24 CREDIT MIS'!I:I,'Aug Dashboard.'!A39,'Aug-24 CREDIT MIS'!N:N,"Sanjay Arya",'Aug-24 CREDIT MIS'!S:S,"Reject")</f>
        <v>0</v>
      </c>
      <c r="H39" s="72">
        <f>SUMIFS('Aug-24 CREDIT MIS'!T:T,'Aug-24 CREDIT MIS'!U:U,"08-08-2024",'Aug-24 CREDIT MIS'!E:E,'Aug Dashboard.'!B39,'Aug-24 CREDIT MIS'!I:I,'Aug Dashboard.'!A39,'Aug-24 CREDIT MIS'!N:N,"Sanjay Arya",'Aug-24 CREDIT MIS'!S:S,"Reject")/100000</f>
        <v>0</v>
      </c>
      <c r="I39" s="72">
        <f t="shared" si="8"/>
        <v>0</v>
      </c>
      <c r="J39" s="72">
        <f t="shared" si="9"/>
        <v>0</v>
      </c>
      <c r="K39" s="72">
        <f>COUNTIFS('Aug-24 CREDIT MIS'!AE:AE,"08-08-2024",'Aug-24 CREDIT MIS'!E:E,'Aug Dashboard.'!B39,'Aug-24 CREDIT MIS'!I:I,'Aug Dashboard.'!A39,'Aug-24 CREDIT MIS'!N:N,"Sanjay Arya",'Aug-24 CREDIT MIS'!S:S,"Disbursed")</f>
        <v>0</v>
      </c>
      <c r="L39" s="72">
        <f>SUMIFS('Aug-24 CREDIT MIS'!V:V,'Aug-24 CREDIT MIS'!AE:AE,"08-08-2024",'Aug-24 CREDIT MIS'!E:E,'Aug Dashboard.'!B39,'Aug-24 CREDIT MIS'!I:I,'Aug Dashboard.'!A39,'Aug-24 CREDIT MIS'!N:N,"Sanjay Arya",'Aug-24 CREDIT MIS'!S:S,"Disbursed")/100000</f>
        <v>0</v>
      </c>
      <c r="M39" s="69"/>
      <c r="N39" s="69"/>
      <c r="O39" s="128"/>
      <c r="P39" s="128"/>
    </row>
    <row r="40" spans="1:16" x14ac:dyDescent="0.25">
      <c r="A40" s="74" t="s">
        <v>195</v>
      </c>
      <c r="B40" s="73" t="s">
        <v>8</v>
      </c>
      <c r="C40" s="72">
        <f>COUNTIFS('Aug-24 CREDIT MIS'!C:C,"08-08-2024",'Aug-24 CREDIT MIS'!E:E,'Aug Dashboard.'!B40,'Aug-24 CREDIT MIS'!I:I,'Aug Dashboard.'!A40,'Aug-24 CREDIT MIS'!N:N,"Sanjay Arya")</f>
        <v>0</v>
      </c>
      <c r="D40" s="72">
        <f>SUMIFS('Aug-24 CREDIT MIS'!T:T,'Aug-24 CREDIT MIS'!C:C,"08-08-2024",'Aug-24 CREDIT MIS'!E:E,'Aug Dashboard.'!B40,'Aug-24 CREDIT MIS'!I:I,'Aug Dashboard.'!A40,'Aug-24 CREDIT MIS'!N:N,"Sanjay Arya")/100000</f>
        <v>0</v>
      </c>
      <c r="E40" s="72">
        <f>COUNTIFS('Aug-24 CREDIT MIS'!U:U,"08-08-2024",'Aug-24 CREDIT MIS'!E:E,'Aug Dashboard.'!B40,'Aug-24 CREDIT MIS'!I:I,'Aug Dashboard.'!A40,'Aug-24 CREDIT MIS'!N:N,"Sanjay Arya",'Aug-24 CREDIT MIS'!S:S,"Sanction")</f>
        <v>0</v>
      </c>
      <c r="F40" s="72">
        <f>SUMIFS('Aug-24 CREDIT MIS'!V:V,'Aug-24 CREDIT MIS'!U:U,"08-08-2024",'Aug-24 CREDIT MIS'!E:E,'Aug Dashboard.'!B40,'Aug-24 CREDIT MIS'!I:I,'Aug Dashboard.'!A40,'Aug-24 CREDIT MIS'!N:N,"Sanjay Arya",'Aug-24 CREDIT MIS'!S:S,"Sanction")/100000</f>
        <v>0</v>
      </c>
      <c r="G40" s="72">
        <f>COUNTIFS('Aug-24 CREDIT MIS'!U:U,"08-08-2024",'Aug-24 CREDIT MIS'!E:E,'Aug Dashboard.'!B40,'Aug-24 CREDIT MIS'!I:I,'Aug Dashboard.'!A40,'Aug-24 CREDIT MIS'!N:N,"Sanjay Arya",'Aug-24 CREDIT MIS'!S:S,"Reject")</f>
        <v>0</v>
      </c>
      <c r="H40" s="72">
        <f>SUMIFS('Aug-24 CREDIT MIS'!T:T,'Aug-24 CREDIT MIS'!U:U,"08-08-2024",'Aug-24 CREDIT MIS'!E:E,'Aug Dashboard.'!B40,'Aug-24 CREDIT MIS'!I:I,'Aug Dashboard.'!A40,'Aug-24 CREDIT MIS'!N:N,"Sanjay Arya",'Aug-24 CREDIT MIS'!S:S,"Reject")/100000</f>
        <v>0</v>
      </c>
      <c r="I40" s="72">
        <f t="shared" si="8"/>
        <v>0</v>
      </c>
      <c r="J40" s="72">
        <f t="shared" si="9"/>
        <v>0</v>
      </c>
      <c r="K40" s="72">
        <f>COUNTIFS('Aug-24 CREDIT MIS'!AE:AE,"08-08-2024",'Aug-24 CREDIT MIS'!E:E,'Aug Dashboard.'!B40,'Aug-24 CREDIT MIS'!I:I,'Aug Dashboard.'!A40,'Aug-24 CREDIT MIS'!N:N,"Sanjay Arya",'Aug-24 CREDIT MIS'!S:S,"Disbursed")</f>
        <v>0</v>
      </c>
      <c r="L40" s="72">
        <f>SUMIFS('Aug-24 CREDIT MIS'!V:V,'Aug-24 CREDIT MIS'!AE:AE,"08-08-2024",'Aug-24 CREDIT MIS'!E:E,'Aug Dashboard.'!B40,'Aug-24 CREDIT MIS'!I:I,'Aug Dashboard.'!A40,'Aug-24 CREDIT MIS'!N:N,"Sanjay Arya",'Aug-24 CREDIT MIS'!S:S,"Disbursed")/100000</f>
        <v>0</v>
      </c>
      <c r="M40" s="69"/>
      <c r="N40" s="69"/>
      <c r="O40" s="128"/>
      <c r="P40" s="128"/>
    </row>
    <row r="41" spans="1:16" x14ac:dyDescent="0.25">
      <c r="A41" s="173" t="s">
        <v>34</v>
      </c>
      <c r="B41" s="174"/>
      <c r="C41" s="83">
        <f t="shared" ref="C41:L41" si="12">SUM(C35:C40)</f>
        <v>2</v>
      </c>
      <c r="D41" s="83">
        <f t="shared" si="12"/>
        <v>16</v>
      </c>
      <c r="E41" s="83">
        <f t="shared" si="12"/>
        <v>0</v>
      </c>
      <c r="F41" s="83">
        <f t="shared" si="12"/>
        <v>0</v>
      </c>
      <c r="G41" s="83">
        <f t="shared" si="12"/>
        <v>0</v>
      </c>
      <c r="H41" s="83">
        <f t="shared" si="12"/>
        <v>0</v>
      </c>
      <c r="I41" s="83">
        <f t="shared" si="12"/>
        <v>0</v>
      </c>
      <c r="J41" s="83">
        <f t="shared" si="12"/>
        <v>0</v>
      </c>
      <c r="K41" s="83">
        <f t="shared" si="12"/>
        <v>0</v>
      </c>
      <c r="L41" s="83">
        <f t="shared" si="12"/>
        <v>0</v>
      </c>
      <c r="M41" s="69"/>
      <c r="N41" s="69"/>
      <c r="O41" s="128"/>
      <c r="P41" s="128"/>
    </row>
    <row r="42" spans="1:16" x14ac:dyDescent="0.25">
      <c r="A42" s="63" t="s">
        <v>500</v>
      </c>
      <c r="B42" s="73" t="s">
        <v>3</v>
      </c>
      <c r="C42" s="72">
        <f>COUNTIFS('Aug-24 CREDIT MIS'!C:C,"08-08-2024",'Aug-24 CREDIT MIS'!E:E,'Aug Dashboard.'!B42,'Aug-24 CREDIT MIS'!I:I,'Aug Dashboard.'!A42,'Aug-24 CREDIT MIS'!N:N,"Sunil Bagoria")</f>
        <v>0</v>
      </c>
      <c r="D42" s="72">
        <f>SUMIFS('Aug-24 CREDIT MIS'!T:T,'Aug-24 CREDIT MIS'!C:C,"08-08-2024",'Aug-24 CREDIT MIS'!E:E,'Aug Dashboard.'!B42,'Aug-24 CREDIT MIS'!I:I,'Aug Dashboard.'!A42,'Aug-24 CREDIT MIS'!N:N,"Sunil Bagoria")/100000</f>
        <v>0</v>
      </c>
      <c r="E42" s="72">
        <f>COUNTIFS('Aug-24 CREDIT MIS'!U:U,"08-08-2024",'Aug-24 CREDIT MIS'!E:E,'Aug Dashboard.'!B42,'Aug-24 CREDIT MIS'!I:I,'Aug Dashboard.'!A42,'Aug-24 CREDIT MIS'!N:N,"Sunil Bagoria",'Aug-24 CREDIT MIS'!S:S,"Sanction")</f>
        <v>0</v>
      </c>
      <c r="F42" s="72">
        <f>SUMIFS('Aug-24 CREDIT MIS'!V:V,'Aug-24 CREDIT MIS'!U:U,"08-08-2024",'Aug-24 CREDIT MIS'!E:E,'Aug Dashboard.'!B42,'Aug-24 CREDIT MIS'!I:I,'Aug Dashboard.'!A42,'Aug-24 CREDIT MIS'!N:N,"Sunil Bagoria",'Aug-24 CREDIT MIS'!S:S,"Sanction")/100000</f>
        <v>0</v>
      </c>
      <c r="G42" s="72">
        <f>COUNTIFS('Aug-24 CREDIT MIS'!U:U,"08-08-2024",'Aug-24 CREDIT MIS'!E:E,'Aug Dashboard.'!B42,'Aug-24 CREDIT MIS'!I:I,'Aug Dashboard.'!A42,'Aug-24 CREDIT MIS'!N:N,"Sunil Bagoria",'Aug-24 CREDIT MIS'!S:S,"Reject")</f>
        <v>0</v>
      </c>
      <c r="H42" s="72">
        <f>SUMIFS('Aug-24 CREDIT MIS'!T:T,'Aug-24 CREDIT MIS'!U:U,"08-08-2024",'Aug-24 CREDIT MIS'!E:E,'Aug Dashboard.'!B42,'Aug-24 CREDIT MIS'!I:I,'Aug Dashboard.'!A42,'Aug-24 CREDIT MIS'!N:N,"Sunil Bagoria",'Aug-24 CREDIT MIS'!S:S,"Reject")/100000</f>
        <v>0</v>
      </c>
      <c r="I42" s="72">
        <f t="shared" ref="I42" si="13">E42+G42</f>
        <v>0</v>
      </c>
      <c r="J42" s="72">
        <f t="shared" ref="J42" si="14">H42+F42</f>
        <v>0</v>
      </c>
      <c r="K42" s="72">
        <f>COUNTIFS('Aug-24 CREDIT MIS'!AE:AE,"08-08-2024",'Aug-24 CREDIT MIS'!E:E,'Aug Dashboard.'!B42,'Aug-24 CREDIT MIS'!I:I,'Aug Dashboard.'!A42,'Aug-24 CREDIT MIS'!N:N,"Sunil Bagoria",'Aug-24 CREDIT MIS'!S:S,"Disbursed")</f>
        <v>0</v>
      </c>
      <c r="L42" s="72">
        <f>SUMIFS('Aug-24 CREDIT MIS'!V:V,'Aug-24 CREDIT MIS'!AE:AE,"08-08-2024",'Aug-24 CREDIT MIS'!E:E,'Aug Dashboard.'!B42,'Aug-24 CREDIT MIS'!I:I,'Aug Dashboard.'!A42,'Aug-24 CREDIT MIS'!N:N,"Sunil Bagoria",'Aug-24 CREDIT MIS'!S:S,"Disbursed")/100000</f>
        <v>0</v>
      </c>
      <c r="M42" s="69"/>
      <c r="N42" s="69"/>
      <c r="O42" s="128"/>
      <c r="P42" s="128"/>
    </row>
    <row r="43" spans="1:16" x14ac:dyDescent="0.25">
      <c r="A43" s="74" t="s">
        <v>193</v>
      </c>
      <c r="B43" s="73" t="s">
        <v>82</v>
      </c>
      <c r="C43" s="72">
        <f>COUNTIFS('Aug-24 CREDIT MIS'!C:C,"08-08-2024",'Aug-24 CREDIT MIS'!E:E,'Aug Dashboard.'!B43,'Aug-24 CREDIT MIS'!I:I,'Aug Dashboard.'!A43,'Aug-24 CREDIT MIS'!N:N,"Sunil Bagoria")</f>
        <v>0</v>
      </c>
      <c r="D43" s="72">
        <f>SUMIFS('Aug-24 CREDIT MIS'!T:T,'Aug-24 CREDIT MIS'!C:C,"08-08-2024",'Aug-24 CREDIT MIS'!E:E,'Aug Dashboard.'!B43,'Aug-24 CREDIT MIS'!I:I,'Aug Dashboard.'!A43,'Aug-24 CREDIT MIS'!N:N,"Sunil Bagoria")/100000</f>
        <v>0</v>
      </c>
      <c r="E43" s="72">
        <f>COUNTIFS('Aug-24 CREDIT MIS'!U:U,"08-08-2024",'Aug-24 CREDIT MIS'!E:E,'Aug Dashboard.'!B43,'Aug-24 CREDIT MIS'!I:I,'Aug Dashboard.'!A43,'Aug-24 CREDIT MIS'!N:N,"Sunil Bagoria",'Aug-24 CREDIT MIS'!S:S,"Sanction")</f>
        <v>0</v>
      </c>
      <c r="F43" s="72">
        <f>SUMIFS('Aug-24 CREDIT MIS'!V:V,'Aug-24 CREDIT MIS'!U:U,"08-08-2024",'Aug-24 CREDIT MIS'!E:E,'Aug Dashboard.'!B43,'Aug-24 CREDIT MIS'!I:I,'Aug Dashboard.'!A43,'Aug-24 CREDIT MIS'!N:N,"Sunil Bagoria",'Aug-24 CREDIT MIS'!S:S,"Sanction")/100000</f>
        <v>0</v>
      </c>
      <c r="G43" s="72">
        <f>COUNTIFS('Aug-24 CREDIT MIS'!U:U,"08-08-2024",'Aug-24 CREDIT MIS'!E:E,'Aug Dashboard.'!B43,'Aug-24 CREDIT MIS'!I:I,'Aug Dashboard.'!A43,'Aug-24 CREDIT MIS'!N:N,"Sunil Bagoria",'Aug-24 CREDIT MIS'!S:S,"Reject")</f>
        <v>0</v>
      </c>
      <c r="H43" s="72">
        <f>SUMIFS('Aug-24 CREDIT MIS'!T:T,'Aug-24 CREDIT MIS'!U:U,"08-08-2024",'Aug-24 CREDIT MIS'!E:E,'Aug Dashboard.'!B43,'Aug-24 CREDIT MIS'!I:I,'Aug Dashboard.'!A43,'Aug-24 CREDIT MIS'!N:N,"Sunil Bagoria",'Aug-24 CREDIT MIS'!S:S,"Reject")/100000</f>
        <v>0</v>
      </c>
      <c r="I43" s="72">
        <f t="shared" ref="I43:I63" si="15">E43+G43</f>
        <v>0</v>
      </c>
      <c r="J43" s="72">
        <f t="shared" ref="J43:J63" si="16">H43+F43</f>
        <v>0</v>
      </c>
      <c r="K43" s="72">
        <f>COUNTIFS('Aug-24 CREDIT MIS'!AE:AE,"08-08-2024",'Aug-24 CREDIT MIS'!E:E,'Aug Dashboard.'!B43,'Aug-24 CREDIT MIS'!I:I,'Aug Dashboard.'!A43,'Aug-24 CREDIT MIS'!N:N,"Sunil Bagoria",'Aug-24 CREDIT MIS'!S:S,"Disbursed")</f>
        <v>0</v>
      </c>
      <c r="L43" s="72">
        <f>SUMIFS('Aug-24 CREDIT MIS'!V:V,'Aug-24 CREDIT MIS'!AE:AE,"08-08-2024",'Aug-24 CREDIT MIS'!E:E,'Aug Dashboard.'!B43,'Aug-24 CREDIT MIS'!I:I,'Aug Dashboard.'!A43,'Aug-24 CREDIT MIS'!N:N,"Sunil Bagoria",'Aug-24 CREDIT MIS'!S:S,"Disbursed")/100000</f>
        <v>0</v>
      </c>
      <c r="M43" s="69"/>
      <c r="N43" s="69"/>
      <c r="O43" s="128"/>
      <c r="P43" s="128"/>
    </row>
    <row r="44" spans="1:16" x14ac:dyDescent="0.25">
      <c r="A44" s="63" t="s">
        <v>653</v>
      </c>
      <c r="B44" s="73" t="s">
        <v>72</v>
      </c>
      <c r="C44" s="72">
        <f>COUNTIFS('Aug-24 CREDIT MIS'!C:C,"08-08-2024",'Aug-24 CREDIT MIS'!E:E,'Aug Dashboard.'!B44,'Aug-24 CREDIT MIS'!I:I,'Aug Dashboard.'!A44,'Aug-24 CREDIT MIS'!N:N,"Sunil Bagoria")</f>
        <v>0</v>
      </c>
      <c r="D44" s="72">
        <f>SUMIFS('Aug-24 CREDIT MIS'!T:T,'Aug-24 CREDIT MIS'!C:C,"08-08-2024",'Aug-24 CREDIT MIS'!E:E,'Aug Dashboard.'!B44,'Aug-24 CREDIT MIS'!I:I,'Aug Dashboard.'!A44,'Aug-24 CREDIT MIS'!N:N,"Sunil Bagoria")/100000</f>
        <v>0</v>
      </c>
      <c r="E44" s="72">
        <f>COUNTIFS('Aug-24 CREDIT MIS'!U:U,"08-08-2024",'Aug-24 CREDIT MIS'!E:E,'Aug Dashboard.'!B44,'Aug-24 CREDIT MIS'!I:I,'Aug Dashboard.'!A44,'Aug-24 CREDIT MIS'!N:N,"Sunil Bagoria",'Aug-24 CREDIT MIS'!S:S,"Sanction")</f>
        <v>0</v>
      </c>
      <c r="F44" s="72">
        <f>SUMIFS('Aug-24 CREDIT MIS'!V:V,'Aug-24 CREDIT MIS'!U:U,"08-08-2024",'Aug-24 CREDIT MIS'!E:E,'Aug Dashboard.'!B44,'Aug-24 CREDIT MIS'!I:I,'Aug Dashboard.'!A44,'Aug-24 CREDIT MIS'!N:N,"Sunil Bagoria",'Aug-24 CREDIT MIS'!S:S,"Sanction")/100000</f>
        <v>0</v>
      </c>
      <c r="G44" s="72">
        <f>COUNTIFS('Aug-24 CREDIT MIS'!U:U,"08-08-2024",'Aug-24 CREDIT MIS'!E:E,'Aug Dashboard.'!B44,'Aug-24 CREDIT MIS'!I:I,'Aug Dashboard.'!A44,'Aug-24 CREDIT MIS'!N:N,"Sunil Bagoria",'Aug-24 CREDIT MIS'!S:S,"Reject")</f>
        <v>0</v>
      </c>
      <c r="H44" s="72">
        <f>SUMIFS('Aug-24 CREDIT MIS'!T:T,'Aug-24 CREDIT MIS'!U:U,"08-08-2024",'Aug-24 CREDIT MIS'!E:E,'Aug Dashboard.'!B44,'Aug-24 CREDIT MIS'!I:I,'Aug Dashboard.'!A44,'Aug-24 CREDIT MIS'!N:N,"Sunil Bagoria",'Aug-24 CREDIT MIS'!S:S,"Reject")/100000</f>
        <v>0</v>
      </c>
      <c r="I44" s="72">
        <f t="shared" si="15"/>
        <v>0</v>
      </c>
      <c r="J44" s="72">
        <f t="shared" si="16"/>
        <v>0</v>
      </c>
      <c r="K44" s="72">
        <f>COUNTIFS('Aug-24 CREDIT MIS'!AE:AE,"08-08-2024",'Aug-24 CREDIT MIS'!E:E,'Aug Dashboard.'!B44,'Aug-24 CREDIT MIS'!I:I,'Aug Dashboard.'!A44,'Aug-24 CREDIT MIS'!N:N,"Sunil Bagoria",'Aug-24 CREDIT MIS'!S:S,"Disbursed")</f>
        <v>0</v>
      </c>
      <c r="L44" s="72">
        <f>SUMIFS('Aug-24 CREDIT MIS'!V:V,'Aug-24 CREDIT MIS'!AE:AE,"08-08-2024",'Aug-24 CREDIT MIS'!E:E,'Aug Dashboard.'!B44,'Aug-24 CREDIT MIS'!I:I,'Aug Dashboard.'!A44,'Aug-24 CREDIT MIS'!N:N,"Sunil Bagoria",'Aug-24 CREDIT MIS'!S:S,"Disbursed")/100000</f>
        <v>0</v>
      </c>
      <c r="M44" s="69"/>
      <c r="N44" s="69"/>
      <c r="O44" s="128"/>
      <c r="P44" s="128"/>
    </row>
    <row r="45" spans="1:16" x14ac:dyDescent="0.25">
      <c r="A45" s="133" t="s">
        <v>469</v>
      </c>
      <c r="B45" s="73" t="s">
        <v>192</v>
      </c>
      <c r="C45" s="72">
        <f>COUNTIFS('Aug-24 CREDIT MIS'!C:C,"08-08-2024",'Aug-24 CREDIT MIS'!E:E,'Aug Dashboard.'!B45,'Aug-24 CREDIT MIS'!I:I,'Aug Dashboard.'!A45,'Aug-24 CREDIT MIS'!N:N,"Sunil Bagoria")</f>
        <v>0</v>
      </c>
      <c r="D45" s="72">
        <f>SUMIFS('Aug-24 CREDIT MIS'!T:T,'Aug-24 CREDIT MIS'!C:C,"08-08-2024",'Aug-24 CREDIT MIS'!E:E,'Aug Dashboard.'!B45,'Aug-24 CREDIT MIS'!I:I,'Aug Dashboard.'!A45,'Aug-24 CREDIT MIS'!N:N,"Sunil Bagoria")/100000</f>
        <v>0</v>
      </c>
      <c r="E45" s="72">
        <f>COUNTIFS('Aug-24 CREDIT MIS'!U:U,"08-08-2024",'Aug-24 CREDIT MIS'!E:E,'Aug Dashboard.'!B45,'Aug-24 CREDIT MIS'!I:I,'Aug Dashboard.'!A45,'Aug-24 CREDIT MIS'!N:N,"Sunil Bagoria",'Aug-24 CREDIT MIS'!S:S,"Sanction")</f>
        <v>0</v>
      </c>
      <c r="F45" s="72">
        <f>SUMIFS('Aug-24 CREDIT MIS'!V:V,'Aug-24 CREDIT MIS'!U:U,"08-08-2024",'Aug-24 CREDIT MIS'!E:E,'Aug Dashboard.'!B45,'Aug-24 CREDIT MIS'!I:I,'Aug Dashboard.'!A45,'Aug-24 CREDIT MIS'!N:N,"Sunil Bagoria",'Aug-24 CREDIT MIS'!S:S,"Sanction")/100000</f>
        <v>0</v>
      </c>
      <c r="G45" s="72">
        <f>COUNTIFS('Aug-24 CREDIT MIS'!U:U,"08-08-2024",'Aug-24 CREDIT MIS'!E:E,'Aug Dashboard.'!B45,'Aug-24 CREDIT MIS'!I:I,'Aug Dashboard.'!A45,'Aug-24 CREDIT MIS'!N:N,"Sunil Bagoria",'Aug-24 CREDIT MIS'!S:S,"Reject")</f>
        <v>0</v>
      </c>
      <c r="H45" s="72">
        <f>SUMIFS('Aug-24 CREDIT MIS'!T:T,'Aug-24 CREDIT MIS'!U:U,"08-08-2024",'Aug-24 CREDIT MIS'!E:E,'Aug Dashboard.'!B45,'Aug-24 CREDIT MIS'!I:I,'Aug Dashboard.'!A45,'Aug-24 CREDIT MIS'!N:N,"Sunil Bagoria",'Aug-24 CREDIT MIS'!S:S,"Reject")/100000</f>
        <v>0</v>
      </c>
      <c r="I45" s="72">
        <f t="shared" si="15"/>
        <v>0</v>
      </c>
      <c r="J45" s="72">
        <f t="shared" si="16"/>
        <v>0</v>
      </c>
      <c r="K45" s="72">
        <f>COUNTIFS('Aug-24 CREDIT MIS'!AE:AE,"08-08-2024",'Aug-24 CREDIT MIS'!E:E,'Aug Dashboard.'!B45,'Aug-24 CREDIT MIS'!I:I,'Aug Dashboard.'!A45,'Aug-24 CREDIT MIS'!N:N,"Sunil Bagoria",'Aug-24 CREDIT MIS'!S:S,"Disbursed")</f>
        <v>0</v>
      </c>
      <c r="L45" s="72">
        <f>SUMIFS('Aug-24 CREDIT MIS'!V:V,'Aug-24 CREDIT MIS'!AE:AE,"08-08-2024",'Aug-24 CREDIT MIS'!E:E,'Aug Dashboard.'!B45,'Aug-24 CREDIT MIS'!I:I,'Aug Dashboard.'!A45,'Aug-24 CREDIT MIS'!N:N,"Sunil Bagoria",'Aug-24 CREDIT MIS'!S:S,"Disbursed")/100000</f>
        <v>0</v>
      </c>
      <c r="M45" s="69"/>
      <c r="N45" s="69"/>
      <c r="O45" s="128"/>
      <c r="P45" s="128"/>
    </row>
    <row r="46" spans="1:16" x14ac:dyDescent="0.25">
      <c r="A46" s="63" t="s">
        <v>472</v>
      </c>
      <c r="B46" s="73" t="s">
        <v>191</v>
      </c>
      <c r="C46" s="72">
        <f>COUNTIFS('Aug-24 CREDIT MIS'!C:C,"08-08-2024",'Aug-24 CREDIT MIS'!E:E,'Aug Dashboard.'!B46,'Aug-24 CREDIT MIS'!I:I,'Aug Dashboard.'!A46,'Aug-24 CREDIT MIS'!N:N,"Sunil Bagoria")</f>
        <v>0</v>
      </c>
      <c r="D46" s="72">
        <f>SUMIFS('Aug-24 CREDIT MIS'!T:T,'Aug-24 CREDIT MIS'!C:C,"08-08-2024",'Aug-24 CREDIT MIS'!E:E,'Aug Dashboard.'!B46,'Aug-24 CREDIT MIS'!I:I,'Aug Dashboard.'!A46,'Aug-24 CREDIT MIS'!N:N,"Sunil Bagoria")/100000</f>
        <v>0</v>
      </c>
      <c r="E46" s="72">
        <f>COUNTIFS('Aug-24 CREDIT MIS'!U:U,"08-08-2024",'Aug-24 CREDIT MIS'!E:E,'Aug Dashboard.'!B46,'Aug-24 CREDIT MIS'!I:I,'Aug Dashboard.'!A46,'Aug-24 CREDIT MIS'!N:N,"Sunil Bagoria",'Aug-24 CREDIT MIS'!S:S,"Sanction")</f>
        <v>0</v>
      </c>
      <c r="F46" s="72">
        <f>SUMIFS('Aug-24 CREDIT MIS'!V:V,'Aug-24 CREDIT MIS'!U:U,"08-08-2024",'Aug-24 CREDIT MIS'!E:E,'Aug Dashboard.'!B46,'Aug-24 CREDIT MIS'!I:I,'Aug Dashboard.'!A46,'Aug-24 CREDIT MIS'!N:N,"Sunil Bagoria",'Aug-24 CREDIT MIS'!S:S,"Sanction")/100000</f>
        <v>0</v>
      </c>
      <c r="G46" s="72">
        <f>COUNTIFS('Aug-24 CREDIT MIS'!U:U,"08-08-2024",'Aug-24 CREDIT MIS'!E:E,'Aug Dashboard.'!B46,'Aug-24 CREDIT MIS'!I:I,'Aug Dashboard.'!A46,'Aug-24 CREDIT MIS'!N:N,"Sunil Bagoria",'Aug-24 CREDIT MIS'!S:S,"Reject")</f>
        <v>0</v>
      </c>
      <c r="H46" s="72">
        <f>SUMIFS('Aug-24 CREDIT MIS'!T:T,'Aug-24 CREDIT MIS'!U:U,"08-08-2024",'Aug-24 CREDIT MIS'!E:E,'Aug Dashboard.'!B46,'Aug-24 CREDIT MIS'!I:I,'Aug Dashboard.'!A46,'Aug-24 CREDIT MIS'!N:N,"Sunil Bagoria",'Aug-24 CREDIT MIS'!S:S,"Reject")/100000</f>
        <v>0</v>
      </c>
      <c r="I46" s="72">
        <f t="shared" si="15"/>
        <v>0</v>
      </c>
      <c r="J46" s="72">
        <f t="shared" si="16"/>
        <v>0</v>
      </c>
      <c r="K46" s="72">
        <f>COUNTIFS('Aug-24 CREDIT MIS'!AE:AE,"08-08-2024",'Aug-24 CREDIT MIS'!E:E,'Aug Dashboard.'!B46,'Aug-24 CREDIT MIS'!I:I,'Aug Dashboard.'!A46,'Aug-24 CREDIT MIS'!N:N,"Sunil Bagoria",'Aug-24 CREDIT MIS'!S:S,"Disbursed")</f>
        <v>0</v>
      </c>
      <c r="L46" s="72">
        <f>SUMIFS('Aug-24 CREDIT MIS'!V:V,'Aug-24 CREDIT MIS'!AE:AE,"08-08-2024",'Aug-24 CREDIT MIS'!E:E,'Aug Dashboard.'!B46,'Aug-24 CREDIT MIS'!I:I,'Aug Dashboard.'!A46,'Aug-24 CREDIT MIS'!N:N,"Sunil Bagoria",'Aug-24 CREDIT MIS'!S:S,"Disbursed")/100000</f>
        <v>0</v>
      </c>
      <c r="M46" s="69"/>
      <c r="N46" s="69"/>
      <c r="O46" s="128"/>
      <c r="P46" s="128"/>
    </row>
    <row r="47" spans="1:16" x14ac:dyDescent="0.25">
      <c r="A47" s="74" t="s">
        <v>190</v>
      </c>
      <c r="B47" s="73" t="s">
        <v>71</v>
      </c>
      <c r="C47" s="72">
        <f>COUNTIFS('Aug-24 CREDIT MIS'!C:C,"08-08-2024",'Aug-24 CREDIT MIS'!E:E,'Aug Dashboard.'!B47,'Aug-24 CREDIT MIS'!I:I,'Aug Dashboard.'!A47,'Aug-24 CREDIT MIS'!N:N,"Sunil Bagoria")</f>
        <v>0</v>
      </c>
      <c r="D47" s="72">
        <f>SUMIFS('Aug-24 CREDIT MIS'!T:T,'Aug-24 CREDIT MIS'!C:C,"08-08-2024",'Aug-24 CREDIT MIS'!E:E,'Aug Dashboard.'!B47,'Aug-24 CREDIT MIS'!I:I,'Aug Dashboard.'!A47,'Aug-24 CREDIT MIS'!N:N,"Sunil Bagoria")/100000</f>
        <v>0</v>
      </c>
      <c r="E47" s="72">
        <f>COUNTIFS('Aug-24 CREDIT MIS'!U:U,"08-08-2024",'Aug-24 CREDIT MIS'!E:E,'Aug Dashboard.'!B47,'Aug-24 CREDIT MIS'!I:I,'Aug Dashboard.'!A47,'Aug-24 CREDIT MIS'!N:N,"Sunil Bagoria",'Aug-24 CREDIT MIS'!S:S,"Sanction")</f>
        <v>0</v>
      </c>
      <c r="F47" s="72">
        <f>SUMIFS('Aug-24 CREDIT MIS'!V:V,'Aug-24 CREDIT MIS'!U:U,"08-08-2024",'Aug-24 CREDIT MIS'!E:E,'Aug Dashboard.'!B47,'Aug-24 CREDIT MIS'!I:I,'Aug Dashboard.'!A47,'Aug-24 CREDIT MIS'!N:N,"Sunil Bagoria",'Aug-24 CREDIT MIS'!S:S,"Sanction")/100000</f>
        <v>0</v>
      </c>
      <c r="G47" s="72">
        <f>COUNTIFS('Aug-24 CREDIT MIS'!U:U,"08-08-2024",'Aug-24 CREDIT MIS'!E:E,'Aug Dashboard.'!B47,'Aug-24 CREDIT MIS'!I:I,'Aug Dashboard.'!A47,'Aug-24 CREDIT MIS'!N:N,"Sunil Bagoria",'Aug-24 CREDIT MIS'!S:S,"Reject")</f>
        <v>0</v>
      </c>
      <c r="H47" s="72">
        <f>SUMIFS('Aug-24 CREDIT MIS'!T:T,'Aug-24 CREDIT MIS'!U:U,"08-08-2024",'Aug-24 CREDIT MIS'!E:E,'Aug Dashboard.'!B47,'Aug-24 CREDIT MIS'!I:I,'Aug Dashboard.'!A47,'Aug-24 CREDIT MIS'!N:N,"Sunil Bagoria",'Aug-24 CREDIT MIS'!S:S,"Reject")/100000</f>
        <v>0</v>
      </c>
      <c r="I47" s="72">
        <f t="shared" si="15"/>
        <v>0</v>
      </c>
      <c r="J47" s="72">
        <f t="shared" si="16"/>
        <v>0</v>
      </c>
      <c r="K47" s="72">
        <f>COUNTIFS('Aug-24 CREDIT MIS'!AE:AE,"08-08-2024",'Aug-24 CREDIT MIS'!E:E,'Aug Dashboard.'!B47,'Aug-24 CREDIT MIS'!I:I,'Aug Dashboard.'!A47,'Aug-24 CREDIT MIS'!N:N,"Sunil Bagoria",'Aug-24 CREDIT MIS'!S:S,"Disbursed")</f>
        <v>0</v>
      </c>
      <c r="L47" s="72">
        <f>SUMIFS('Aug-24 CREDIT MIS'!V:V,'Aug-24 CREDIT MIS'!AE:AE,"08-08-2024",'Aug-24 CREDIT MIS'!E:E,'Aug Dashboard.'!B47,'Aug-24 CREDIT MIS'!I:I,'Aug Dashboard.'!A47,'Aug-24 CREDIT MIS'!N:N,"Sunil Bagoria",'Aug-24 CREDIT MIS'!S:S,"Disbursed")/100000</f>
        <v>0</v>
      </c>
      <c r="M47" s="69"/>
      <c r="N47" s="69"/>
      <c r="O47" s="128"/>
      <c r="P47" s="128"/>
    </row>
    <row r="48" spans="1:16" x14ac:dyDescent="0.25">
      <c r="A48" s="134" t="s">
        <v>477</v>
      </c>
      <c r="B48" t="s">
        <v>475</v>
      </c>
      <c r="C48" s="72">
        <f>COUNTIFS('Aug-24 CREDIT MIS'!C:C,"08-08-2024",'Aug-24 CREDIT MIS'!E:E,'Aug Dashboard.'!B48,'Aug-24 CREDIT MIS'!I:I,'Aug Dashboard.'!A48,'Aug-24 CREDIT MIS'!N:N,"Sunil Bagoria")</f>
        <v>0</v>
      </c>
      <c r="D48" s="72">
        <f>SUMIFS('Aug-24 CREDIT MIS'!T:T,'Aug-24 CREDIT MIS'!C:C,"08-08-2024",'Aug-24 CREDIT MIS'!E:E,'Aug Dashboard.'!B48,'Aug-24 CREDIT MIS'!I:I,'Aug Dashboard.'!A48,'Aug-24 CREDIT MIS'!N:N,"Sunil Bagoria")/100000</f>
        <v>0</v>
      </c>
      <c r="E48" s="72">
        <f>COUNTIFS('Aug-24 CREDIT MIS'!U:U,"08-08-2024",'Aug-24 CREDIT MIS'!E:E,'Aug Dashboard.'!B48,'Aug-24 CREDIT MIS'!I:I,'Aug Dashboard.'!A48,'Aug-24 CREDIT MIS'!N:N,"Sunil Bagoria",'Aug-24 CREDIT MIS'!S:S,"Sanction")</f>
        <v>0</v>
      </c>
      <c r="F48" s="72">
        <f>SUMIFS('Aug-24 CREDIT MIS'!V:V,'Aug-24 CREDIT MIS'!U:U,"08-08-2024",'Aug-24 CREDIT MIS'!E:E,'Aug Dashboard.'!B48,'Aug-24 CREDIT MIS'!I:I,'Aug Dashboard.'!A48,'Aug-24 CREDIT MIS'!N:N,"Sunil Bagoria",'Aug-24 CREDIT MIS'!S:S,"Sanction")/100000</f>
        <v>0</v>
      </c>
      <c r="G48" s="72">
        <f>COUNTIFS('Aug-24 CREDIT MIS'!U:U,"08-08-2024",'Aug-24 CREDIT MIS'!E:E,'Aug Dashboard.'!B48,'Aug-24 CREDIT MIS'!I:I,'Aug Dashboard.'!A48,'Aug-24 CREDIT MIS'!N:N,"Sunil Bagoria",'Aug-24 CREDIT MIS'!S:S,"Reject")</f>
        <v>0</v>
      </c>
      <c r="H48" s="72">
        <f>SUMIFS('Aug-24 CREDIT MIS'!T:T,'Aug-24 CREDIT MIS'!U:U,"08-08-2024",'Aug-24 CREDIT MIS'!E:E,'Aug Dashboard.'!B48,'Aug-24 CREDIT MIS'!I:I,'Aug Dashboard.'!A48,'Aug-24 CREDIT MIS'!N:N,"Sunil Bagoria",'Aug-24 CREDIT MIS'!S:S,"Reject")/100000</f>
        <v>0</v>
      </c>
      <c r="I48" s="72">
        <f t="shared" si="15"/>
        <v>0</v>
      </c>
      <c r="J48" s="72">
        <f t="shared" si="16"/>
        <v>0</v>
      </c>
      <c r="K48" s="72">
        <f>COUNTIFS('Aug-24 CREDIT MIS'!AE:AE,"08-08-2024",'Aug-24 CREDIT MIS'!E:E,'Aug Dashboard.'!B48,'Aug-24 CREDIT MIS'!I:I,'Aug Dashboard.'!A48,'Aug-24 CREDIT MIS'!N:N,"Sunil Bagoria",'Aug-24 CREDIT MIS'!S:S,"Disbursed")</f>
        <v>0</v>
      </c>
      <c r="L48" s="72">
        <f>SUMIFS('Aug-24 CREDIT MIS'!V:V,'Aug-24 CREDIT MIS'!AE:AE,"08-08-2024",'Aug-24 CREDIT MIS'!E:E,'Aug Dashboard.'!B48,'Aug-24 CREDIT MIS'!I:I,'Aug Dashboard.'!A48,'Aug-24 CREDIT MIS'!N:N,"Sunil Bagoria",'Aug-24 CREDIT MIS'!S:S,"Disbursed")/100000</f>
        <v>0</v>
      </c>
      <c r="M48" s="69"/>
      <c r="N48" s="69"/>
      <c r="O48" s="128"/>
      <c r="P48" s="128"/>
    </row>
    <row r="49" spans="1:16" x14ac:dyDescent="0.25">
      <c r="A49" s="90" t="s">
        <v>189</v>
      </c>
      <c r="B49" s="73" t="s">
        <v>50</v>
      </c>
      <c r="C49" s="72">
        <f>COUNTIFS('Aug-24 CREDIT MIS'!C:C,"08-08-2024",'Aug-24 CREDIT MIS'!E:E,'Aug Dashboard.'!B49,'Aug-24 CREDIT MIS'!I:I,'Aug Dashboard.'!A49,'Aug-24 CREDIT MIS'!N:N,"Sunil Bagoria")</f>
        <v>0</v>
      </c>
      <c r="D49" s="72">
        <f>SUMIFS('Aug-24 CREDIT MIS'!T:T,'Aug-24 CREDIT MIS'!C:C,"08-08-2024",'Aug-24 CREDIT MIS'!E:E,'Aug Dashboard.'!B49,'Aug-24 CREDIT MIS'!I:I,'Aug Dashboard.'!A49,'Aug-24 CREDIT MIS'!N:N,"Sunil Bagoria")/100000</f>
        <v>0</v>
      </c>
      <c r="E49" s="72">
        <f>COUNTIFS('Aug-24 CREDIT MIS'!U:U,"08-08-2024",'Aug-24 CREDIT MIS'!E:E,'Aug Dashboard.'!B49,'Aug-24 CREDIT MIS'!I:I,'Aug Dashboard.'!A49,'Aug-24 CREDIT MIS'!N:N,"Sunil Bagoria",'Aug-24 CREDIT MIS'!S:S,"Sanction")</f>
        <v>0</v>
      </c>
      <c r="F49" s="72">
        <f>SUMIFS('Aug-24 CREDIT MIS'!V:V,'Aug-24 CREDIT MIS'!U:U,"08-08-2024",'Aug-24 CREDIT MIS'!E:E,'Aug Dashboard.'!B49,'Aug-24 CREDIT MIS'!I:I,'Aug Dashboard.'!A49,'Aug-24 CREDIT MIS'!N:N,"Sunil Bagoria",'Aug-24 CREDIT MIS'!S:S,"Sanction")/100000</f>
        <v>0</v>
      </c>
      <c r="G49" s="72">
        <f>COUNTIFS('Aug-24 CREDIT MIS'!U:U,"08-08-2024",'Aug-24 CREDIT MIS'!E:E,'Aug Dashboard.'!B49,'Aug-24 CREDIT MIS'!I:I,'Aug Dashboard.'!A49,'Aug-24 CREDIT MIS'!N:N,"Sunil Bagoria",'Aug-24 CREDIT MIS'!S:S,"Reject")</f>
        <v>0</v>
      </c>
      <c r="H49" s="72">
        <f>SUMIFS('Aug-24 CREDIT MIS'!T:T,'Aug-24 CREDIT MIS'!U:U,"08-08-2024",'Aug-24 CREDIT MIS'!E:E,'Aug Dashboard.'!B49,'Aug-24 CREDIT MIS'!I:I,'Aug Dashboard.'!A49,'Aug-24 CREDIT MIS'!N:N,"Sunil Bagoria",'Aug-24 CREDIT MIS'!S:S,"Reject")/100000</f>
        <v>0</v>
      </c>
      <c r="I49" s="72">
        <f t="shared" si="15"/>
        <v>0</v>
      </c>
      <c r="J49" s="72">
        <f t="shared" si="16"/>
        <v>0</v>
      </c>
      <c r="K49" s="72">
        <f>COUNTIFS('Aug-24 CREDIT MIS'!AE:AE,"08-08-2024",'Aug-24 CREDIT MIS'!E:E,'Aug Dashboard.'!B49,'Aug-24 CREDIT MIS'!I:I,'Aug Dashboard.'!A49,'Aug-24 CREDIT MIS'!N:N,"Sunil Bagoria",'Aug-24 CREDIT MIS'!S:S,"Disbursed")</f>
        <v>0</v>
      </c>
      <c r="L49" s="72">
        <f>SUMIFS('Aug-24 CREDIT MIS'!V:V,'Aug-24 CREDIT MIS'!AE:AE,"08-08-2024",'Aug-24 CREDIT MIS'!E:E,'Aug Dashboard.'!B49,'Aug-24 CREDIT MIS'!I:I,'Aug Dashboard.'!A49,'Aug-24 CREDIT MIS'!N:N,"Sunil Bagoria",'Aug-24 CREDIT MIS'!S:S,"Disbursed")/100000</f>
        <v>0</v>
      </c>
      <c r="M49" s="69"/>
      <c r="N49" s="69"/>
      <c r="O49" s="128"/>
      <c r="P49" s="128"/>
    </row>
    <row r="50" spans="1:16" x14ac:dyDescent="0.25">
      <c r="A50" s="90" t="s">
        <v>188</v>
      </c>
      <c r="B50" s="73" t="s">
        <v>50</v>
      </c>
      <c r="C50" s="72">
        <f>COUNTIFS('Aug-24 CREDIT MIS'!C:C,"08-08-2024",'Aug-24 CREDIT MIS'!E:E,'Aug Dashboard.'!B50,'Aug-24 CREDIT MIS'!I:I,'Aug Dashboard.'!A50,'Aug-24 CREDIT MIS'!N:N,"Sunil Bagoria")</f>
        <v>0</v>
      </c>
      <c r="D50" s="72">
        <f>SUMIFS('Aug-24 CREDIT MIS'!T:T,'Aug-24 CREDIT MIS'!C:C,"08-08-2024",'Aug-24 CREDIT MIS'!E:E,'Aug Dashboard.'!B50,'Aug-24 CREDIT MIS'!I:I,'Aug Dashboard.'!A50,'Aug-24 CREDIT MIS'!N:N,"Sunil Bagoria")/100000</f>
        <v>0</v>
      </c>
      <c r="E50" s="72">
        <f>COUNTIFS('Aug-24 CREDIT MIS'!U:U,"08-08-2024",'Aug-24 CREDIT MIS'!E:E,'Aug Dashboard.'!B50,'Aug-24 CREDIT MIS'!I:I,'Aug Dashboard.'!A50,'Aug-24 CREDIT MIS'!N:N,"Sunil Bagoria",'Aug-24 CREDIT MIS'!S:S,"Sanction")</f>
        <v>0</v>
      </c>
      <c r="F50" s="72">
        <f>SUMIFS('Aug-24 CREDIT MIS'!V:V,'Aug-24 CREDIT MIS'!U:U,"08-08-2024",'Aug-24 CREDIT MIS'!E:E,'Aug Dashboard.'!B50,'Aug-24 CREDIT MIS'!I:I,'Aug Dashboard.'!A50,'Aug-24 CREDIT MIS'!N:N,"Sunil Bagoria",'Aug-24 CREDIT MIS'!S:S,"Sanction")/100000</f>
        <v>0</v>
      </c>
      <c r="G50" s="72">
        <f>COUNTIFS('Aug-24 CREDIT MIS'!U:U,"08-08-2024",'Aug-24 CREDIT MIS'!E:E,'Aug Dashboard.'!B50,'Aug-24 CREDIT MIS'!I:I,'Aug Dashboard.'!A50,'Aug-24 CREDIT MIS'!N:N,"Sunil Bagoria",'Aug-24 CREDIT MIS'!S:S,"Reject")</f>
        <v>1</v>
      </c>
      <c r="H50" s="72">
        <f>SUMIFS('Aug-24 CREDIT MIS'!T:T,'Aug-24 CREDIT MIS'!U:U,"08-08-2024",'Aug-24 CREDIT MIS'!E:E,'Aug Dashboard.'!B50,'Aug-24 CREDIT MIS'!I:I,'Aug Dashboard.'!A50,'Aug-24 CREDIT MIS'!N:N,"Sunil Bagoria",'Aug-24 CREDIT MIS'!S:S,"Reject")/100000</f>
        <v>3</v>
      </c>
      <c r="I50" s="72">
        <f t="shared" si="15"/>
        <v>1</v>
      </c>
      <c r="J50" s="72">
        <f t="shared" si="16"/>
        <v>3</v>
      </c>
      <c r="K50" s="72">
        <f>COUNTIFS('Aug-24 CREDIT MIS'!AE:AE,"08-08-2024",'Aug-24 CREDIT MIS'!E:E,'Aug Dashboard.'!B50,'Aug-24 CREDIT MIS'!I:I,'Aug Dashboard.'!A50,'Aug-24 CREDIT MIS'!N:N,"Sunil Bagoria",'Aug-24 CREDIT MIS'!S:S,"Disbursed")</f>
        <v>0</v>
      </c>
      <c r="L50" s="72">
        <f>SUMIFS('Aug-24 CREDIT MIS'!V:V,'Aug-24 CREDIT MIS'!AE:AE,"08-08-2024",'Aug-24 CREDIT MIS'!E:E,'Aug Dashboard.'!B50,'Aug-24 CREDIT MIS'!I:I,'Aug Dashboard.'!A50,'Aug-24 CREDIT MIS'!N:N,"Sunil Bagoria",'Aug-24 CREDIT MIS'!S:S,"Disbursed")/100000</f>
        <v>0</v>
      </c>
      <c r="M50" s="69"/>
      <c r="N50" s="69"/>
      <c r="O50" s="128"/>
      <c r="P50" s="128"/>
    </row>
    <row r="51" spans="1:16" x14ac:dyDescent="0.25">
      <c r="A51" s="73" t="s">
        <v>187</v>
      </c>
      <c r="B51" s="73" t="s">
        <v>186</v>
      </c>
      <c r="C51" s="72">
        <f>COUNTIFS('Aug-24 CREDIT MIS'!C:C,"08-08-2024",'Aug-24 CREDIT MIS'!E:E,'Aug Dashboard.'!B51,'Aug-24 CREDIT MIS'!I:I,'Aug Dashboard.'!A51,'Aug-24 CREDIT MIS'!N:N,"Sunil Bagoria")</f>
        <v>0</v>
      </c>
      <c r="D51" s="72">
        <f>SUMIFS('Aug-24 CREDIT MIS'!T:T,'Aug-24 CREDIT MIS'!C:C,"08-08-2024",'Aug-24 CREDIT MIS'!E:E,'Aug Dashboard.'!B51,'Aug-24 CREDIT MIS'!I:I,'Aug Dashboard.'!A51,'Aug-24 CREDIT MIS'!N:N,"Sunil Bagoria")/100000</f>
        <v>0</v>
      </c>
      <c r="E51" s="72">
        <f>COUNTIFS('Aug-24 CREDIT MIS'!U:U,"08-08-2024",'Aug-24 CREDIT MIS'!E:E,'Aug Dashboard.'!B51,'Aug-24 CREDIT MIS'!I:I,'Aug Dashboard.'!A51,'Aug-24 CREDIT MIS'!N:N,"Sunil Bagoria",'Aug-24 CREDIT MIS'!S:S,"Sanction")</f>
        <v>0</v>
      </c>
      <c r="F51" s="72">
        <f>SUMIFS('Aug-24 CREDIT MIS'!V:V,'Aug-24 CREDIT MIS'!U:U,"08-08-2024",'Aug-24 CREDIT MIS'!E:E,'Aug Dashboard.'!B51,'Aug-24 CREDIT MIS'!I:I,'Aug Dashboard.'!A51,'Aug-24 CREDIT MIS'!N:N,"Sunil Bagoria",'Aug-24 CREDIT MIS'!S:S,"Sanction")/100000</f>
        <v>0</v>
      </c>
      <c r="G51" s="72">
        <f>COUNTIFS('Aug-24 CREDIT MIS'!U:U,"08-08-2024",'Aug-24 CREDIT MIS'!E:E,'Aug Dashboard.'!B51,'Aug-24 CREDIT MIS'!I:I,'Aug Dashboard.'!A51,'Aug-24 CREDIT MIS'!N:N,"Sunil Bagoria",'Aug-24 CREDIT MIS'!S:S,"Reject")</f>
        <v>0</v>
      </c>
      <c r="H51" s="72">
        <f>SUMIFS('Aug-24 CREDIT MIS'!T:T,'Aug-24 CREDIT MIS'!U:U,"08-08-2024",'Aug-24 CREDIT MIS'!E:E,'Aug Dashboard.'!B51,'Aug-24 CREDIT MIS'!I:I,'Aug Dashboard.'!A51,'Aug-24 CREDIT MIS'!N:N,"Sunil Bagoria",'Aug-24 CREDIT MIS'!S:S,"Reject")/100000</f>
        <v>0</v>
      </c>
      <c r="I51" s="72">
        <f t="shared" si="15"/>
        <v>0</v>
      </c>
      <c r="J51" s="72">
        <f t="shared" si="16"/>
        <v>0</v>
      </c>
      <c r="K51" s="72">
        <f>COUNTIFS('Aug-24 CREDIT MIS'!AE:AE,"08-08-2024",'Aug-24 CREDIT MIS'!E:E,'Aug Dashboard.'!B51,'Aug-24 CREDIT MIS'!I:I,'Aug Dashboard.'!A51,'Aug-24 CREDIT MIS'!N:N,"Sunil Bagoria",'Aug-24 CREDIT MIS'!S:S,"Disbursed")</f>
        <v>0</v>
      </c>
      <c r="L51" s="72">
        <f>SUMIFS('Aug-24 CREDIT MIS'!V:V,'Aug-24 CREDIT MIS'!AE:AE,"08-08-2024",'Aug-24 CREDIT MIS'!E:E,'Aug Dashboard.'!B51,'Aug-24 CREDIT MIS'!I:I,'Aug Dashboard.'!A51,'Aug-24 CREDIT MIS'!N:N,"Sunil Bagoria",'Aug-24 CREDIT MIS'!S:S,"Disbursed")/100000</f>
        <v>0</v>
      </c>
      <c r="M51" s="69"/>
      <c r="N51" s="69"/>
      <c r="O51" s="128"/>
      <c r="P51" s="128"/>
    </row>
    <row r="52" spans="1:16" x14ac:dyDescent="0.25">
      <c r="A52" s="137" t="s">
        <v>510</v>
      </c>
      <c r="B52" s="25" t="s">
        <v>509</v>
      </c>
      <c r="C52" s="72">
        <f>COUNTIFS('Aug-24 CREDIT MIS'!C:C,"08-08-2024",'Aug-24 CREDIT MIS'!E:E,'Aug Dashboard.'!B52,'Aug-24 CREDIT MIS'!I:I,'Aug Dashboard.'!A52,'Aug-24 CREDIT MIS'!N:N,"Sunil Bagoria")</f>
        <v>0</v>
      </c>
      <c r="D52" s="72">
        <f>SUMIFS('Aug-24 CREDIT MIS'!T:T,'Aug-24 CREDIT MIS'!C:C,"08-08-2024",'Aug-24 CREDIT MIS'!E:E,'Aug Dashboard.'!B52,'Aug-24 CREDIT MIS'!I:I,'Aug Dashboard.'!A52,'Aug-24 CREDIT MIS'!N:N,"Sunil Bagoria")/100000</f>
        <v>0</v>
      </c>
      <c r="E52" s="72">
        <f>COUNTIFS('Aug-24 CREDIT MIS'!U:U,"08-08-2024",'Aug-24 CREDIT MIS'!E:E,'Aug Dashboard.'!B52,'Aug-24 CREDIT MIS'!I:I,'Aug Dashboard.'!A52,'Aug-24 CREDIT MIS'!N:N,"Sunil Bagoria",'Aug-24 CREDIT MIS'!S:S,"Sanction")</f>
        <v>0</v>
      </c>
      <c r="F52" s="72">
        <f>SUMIFS('Aug-24 CREDIT MIS'!V:V,'Aug-24 CREDIT MIS'!U:U,"08-08-2024",'Aug-24 CREDIT MIS'!E:E,'Aug Dashboard.'!B52,'Aug-24 CREDIT MIS'!I:I,'Aug Dashboard.'!A52,'Aug-24 CREDIT MIS'!N:N,"Sunil Bagoria",'Aug-24 CREDIT MIS'!S:S,"Sanction")/100000</f>
        <v>0</v>
      </c>
      <c r="G52" s="72">
        <f>COUNTIFS('Aug-24 CREDIT MIS'!U:U,"08-08-2024",'Aug-24 CREDIT MIS'!E:E,'Aug Dashboard.'!B52,'Aug-24 CREDIT MIS'!I:I,'Aug Dashboard.'!A52,'Aug-24 CREDIT MIS'!N:N,"Sunil Bagoria",'Aug-24 CREDIT MIS'!S:S,"Reject")</f>
        <v>0</v>
      </c>
      <c r="H52" s="72">
        <f>SUMIFS('Aug-24 CREDIT MIS'!T:T,'Aug-24 CREDIT MIS'!U:U,"08-08-2024",'Aug-24 CREDIT MIS'!E:E,'Aug Dashboard.'!B52,'Aug-24 CREDIT MIS'!I:I,'Aug Dashboard.'!A52,'Aug-24 CREDIT MIS'!N:N,"Sunil Bagoria",'Aug-24 CREDIT MIS'!S:S,"Reject")/100000</f>
        <v>0</v>
      </c>
      <c r="I52" s="72">
        <f t="shared" ref="I52" si="17">E52+G52</f>
        <v>0</v>
      </c>
      <c r="J52" s="72">
        <f t="shared" ref="J52" si="18">H52+F52</f>
        <v>0</v>
      </c>
      <c r="K52" s="72">
        <f>COUNTIFS('Aug-24 CREDIT MIS'!AE:AE,"08-08-2024",'Aug-24 CREDIT MIS'!E:E,'Aug Dashboard.'!B52,'Aug-24 CREDIT MIS'!I:I,'Aug Dashboard.'!A52,'Aug-24 CREDIT MIS'!N:N,"Sunil Bagoria",'Aug-24 CREDIT MIS'!S:S,"Disbursed")</f>
        <v>0</v>
      </c>
      <c r="L52" s="72">
        <f>SUMIFS('Aug-24 CREDIT MIS'!V:V,'Aug-24 CREDIT MIS'!AE:AE,"08-08-2024",'Aug-24 CREDIT MIS'!E:E,'Aug Dashboard.'!B52,'Aug-24 CREDIT MIS'!I:I,'Aug Dashboard.'!A52,'Aug-24 CREDIT MIS'!N:N,"Sunil Bagoria",'Aug-24 CREDIT MIS'!S:S,"Disbursed")/100000</f>
        <v>0</v>
      </c>
      <c r="M52" s="69"/>
      <c r="N52" s="69"/>
      <c r="O52" s="128"/>
      <c r="P52" s="128"/>
    </row>
    <row r="53" spans="1:16" ht="15.75" thickBot="1" x14ac:dyDescent="0.3">
      <c r="A53" s="89" t="s">
        <v>185</v>
      </c>
      <c r="B53" s="73" t="s">
        <v>184</v>
      </c>
      <c r="C53" s="72">
        <f>COUNTIFS('Aug-24 CREDIT MIS'!C:C,"08-08-2024",'Aug-24 CREDIT MIS'!E:E,'Aug Dashboard.'!B53,'Aug-24 CREDIT MIS'!I:I,'Aug Dashboard.'!A53,'Aug-24 CREDIT MIS'!N:N,"Sunil Bagoria")</f>
        <v>0</v>
      </c>
      <c r="D53" s="72">
        <f>SUMIFS('Aug-24 CREDIT MIS'!T:T,'Aug-24 CREDIT MIS'!C:C,"08-08-2024",'Aug-24 CREDIT MIS'!E:E,'Aug Dashboard.'!B53,'Aug-24 CREDIT MIS'!I:I,'Aug Dashboard.'!A53,'Aug-24 CREDIT MIS'!N:N,"Sunil Bagoria")/100000</f>
        <v>0</v>
      </c>
      <c r="E53" s="72">
        <f>COUNTIFS('Aug-24 CREDIT MIS'!U:U,"08-08-2024",'Aug-24 CREDIT MIS'!E:E,'Aug Dashboard.'!B53,'Aug-24 CREDIT MIS'!I:I,'Aug Dashboard.'!A53,'Aug-24 CREDIT MIS'!N:N,"Sunil Bagoria",'Aug-24 CREDIT MIS'!S:S,"Sanction")</f>
        <v>0</v>
      </c>
      <c r="F53" s="72">
        <f>SUMIFS('Aug-24 CREDIT MIS'!V:V,'Aug-24 CREDIT MIS'!U:U,"08-08-2024",'Aug-24 CREDIT MIS'!E:E,'Aug Dashboard.'!B53,'Aug-24 CREDIT MIS'!I:I,'Aug Dashboard.'!A53,'Aug-24 CREDIT MIS'!N:N,"Sunil Bagoria",'Aug-24 CREDIT MIS'!S:S,"Sanction")/100000</f>
        <v>0</v>
      </c>
      <c r="G53" s="72">
        <f>COUNTIFS('Aug-24 CREDIT MIS'!U:U,"08-08-2024",'Aug-24 CREDIT MIS'!E:E,'Aug Dashboard.'!B53,'Aug-24 CREDIT MIS'!I:I,'Aug Dashboard.'!A53,'Aug-24 CREDIT MIS'!N:N,"Sunil Bagoria",'Aug-24 CREDIT MIS'!S:S,"Reject")</f>
        <v>0</v>
      </c>
      <c r="H53" s="72">
        <f>SUMIFS('Aug-24 CREDIT MIS'!T:T,'Aug-24 CREDIT MIS'!U:U,"08-08-2024",'Aug-24 CREDIT MIS'!E:E,'Aug Dashboard.'!B53,'Aug-24 CREDIT MIS'!I:I,'Aug Dashboard.'!A53,'Aug-24 CREDIT MIS'!N:N,"Sunil Bagoria",'Aug-24 CREDIT MIS'!S:S,"Reject")/100000</f>
        <v>0</v>
      </c>
      <c r="I53" s="72">
        <f t="shared" si="15"/>
        <v>0</v>
      </c>
      <c r="J53" s="72">
        <f t="shared" si="16"/>
        <v>0</v>
      </c>
      <c r="K53" s="72">
        <f>COUNTIFS('Aug-24 CREDIT MIS'!AE:AE,"08-08-2024",'Aug-24 CREDIT MIS'!E:E,'Aug Dashboard.'!B53,'Aug-24 CREDIT MIS'!I:I,'Aug Dashboard.'!A53,'Aug-24 CREDIT MIS'!N:N,"Sunil Bagoria",'Aug-24 CREDIT MIS'!S:S,"Disbursed")</f>
        <v>0</v>
      </c>
      <c r="L53" s="72">
        <f>SUMIFS('Aug-24 CREDIT MIS'!V:V,'Aug-24 CREDIT MIS'!AE:AE,"08-08-2024",'Aug-24 CREDIT MIS'!E:E,'Aug Dashboard.'!B53,'Aug-24 CREDIT MIS'!I:I,'Aug Dashboard.'!A53,'Aug-24 CREDIT MIS'!N:N,"Sunil Bagoria",'Aug-24 CREDIT MIS'!S:S,"Disbursed")/100000</f>
        <v>0</v>
      </c>
      <c r="M53" s="69"/>
      <c r="N53" s="69"/>
      <c r="O53" s="128"/>
      <c r="P53" s="128"/>
    </row>
    <row r="54" spans="1:16" x14ac:dyDescent="0.25">
      <c r="A54" s="74" t="s">
        <v>183</v>
      </c>
      <c r="B54" s="73" t="s">
        <v>182</v>
      </c>
      <c r="C54" s="72">
        <f>COUNTIFS('Aug-24 CREDIT MIS'!C:C,"08-08-2024",'Aug-24 CREDIT MIS'!E:E,'Aug Dashboard.'!B54,'Aug-24 CREDIT MIS'!I:I,'Aug Dashboard.'!A54,'Aug-24 CREDIT MIS'!N:N,"Sunil Bagoria")</f>
        <v>0</v>
      </c>
      <c r="D54" s="72">
        <f>SUMIFS('Aug-24 CREDIT MIS'!T:T,'Aug-24 CREDIT MIS'!C:C,"08-08-2024",'Aug-24 CREDIT MIS'!E:E,'Aug Dashboard.'!B54,'Aug-24 CREDIT MIS'!I:I,'Aug Dashboard.'!A54,'Aug-24 CREDIT MIS'!N:N,"Sunil Bagoria")/100000</f>
        <v>0</v>
      </c>
      <c r="E54" s="72">
        <f>COUNTIFS('Aug-24 CREDIT MIS'!U:U,"08-08-2024",'Aug-24 CREDIT MIS'!E:E,'Aug Dashboard.'!B54,'Aug-24 CREDIT MIS'!I:I,'Aug Dashboard.'!A54,'Aug-24 CREDIT MIS'!N:N,"Sunil Bagoria",'Aug-24 CREDIT MIS'!S:S,"Sanction")</f>
        <v>0</v>
      </c>
      <c r="F54" s="72">
        <f>SUMIFS('Aug-24 CREDIT MIS'!V:V,'Aug-24 CREDIT MIS'!U:U,"08-08-2024",'Aug-24 CREDIT MIS'!E:E,'Aug Dashboard.'!B54,'Aug-24 CREDIT MIS'!I:I,'Aug Dashboard.'!A54,'Aug-24 CREDIT MIS'!N:N,"Sunil Bagoria",'Aug-24 CREDIT MIS'!S:S,"Sanction")/100000</f>
        <v>0</v>
      </c>
      <c r="G54" s="72">
        <f>COUNTIFS('Aug-24 CREDIT MIS'!U:U,"08-08-2024",'Aug-24 CREDIT MIS'!E:E,'Aug Dashboard.'!B54,'Aug-24 CREDIT MIS'!I:I,'Aug Dashboard.'!A54,'Aug-24 CREDIT MIS'!N:N,"Sunil Bagoria",'Aug-24 CREDIT MIS'!S:S,"Reject")</f>
        <v>0</v>
      </c>
      <c r="H54" s="72">
        <f>SUMIFS('Aug-24 CREDIT MIS'!T:T,'Aug-24 CREDIT MIS'!U:U,"08-08-2024",'Aug-24 CREDIT MIS'!E:E,'Aug Dashboard.'!B54,'Aug-24 CREDIT MIS'!I:I,'Aug Dashboard.'!A54,'Aug-24 CREDIT MIS'!N:N,"Sunil Bagoria",'Aug-24 CREDIT MIS'!S:S,"Reject")/100000</f>
        <v>0</v>
      </c>
      <c r="I54" s="72">
        <f t="shared" si="15"/>
        <v>0</v>
      </c>
      <c r="J54" s="72">
        <f t="shared" si="16"/>
        <v>0</v>
      </c>
      <c r="K54" s="72">
        <f>COUNTIFS('Aug-24 CREDIT MIS'!AE:AE,"08-08-2024",'Aug-24 CREDIT MIS'!E:E,'Aug Dashboard.'!B54,'Aug-24 CREDIT MIS'!I:I,'Aug Dashboard.'!A54,'Aug-24 CREDIT MIS'!N:N,"Sunil Bagoria",'Aug-24 CREDIT MIS'!S:S,"Disbursed")</f>
        <v>0</v>
      </c>
      <c r="L54" s="72">
        <f>SUMIFS('Aug-24 CREDIT MIS'!V:V,'Aug-24 CREDIT MIS'!AE:AE,"08-08-2024",'Aug-24 CREDIT MIS'!E:E,'Aug Dashboard.'!B54,'Aug-24 CREDIT MIS'!I:I,'Aug Dashboard.'!A54,'Aug-24 CREDIT MIS'!N:N,"Sunil Bagoria",'Aug-24 CREDIT MIS'!S:S,"Disbursed")/100000</f>
        <v>0</v>
      </c>
      <c r="M54" s="69"/>
      <c r="N54" s="69"/>
      <c r="O54" s="128"/>
      <c r="P54" s="128"/>
    </row>
    <row r="55" spans="1:16" x14ac:dyDescent="0.25">
      <c r="A55" s="88" t="s">
        <v>181</v>
      </c>
      <c r="B55" s="73" t="s">
        <v>5</v>
      </c>
      <c r="C55" s="72">
        <f>COUNTIFS('Aug-24 CREDIT MIS'!C:C,"08-08-2024",'Aug-24 CREDIT MIS'!E:E,'Aug Dashboard.'!B55,'Aug-24 CREDIT MIS'!I:I,'Aug Dashboard.'!A55,'Aug-24 CREDIT MIS'!N:N,"Sunil Bagoria")</f>
        <v>0</v>
      </c>
      <c r="D55" s="72">
        <f>SUMIFS('Aug-24 CREDIT MIS'!T:T,'Aug-24 CREDIT MIS'!C:C,"08-08-2024",'Aug-24 CREDIT MIS'!E:E,'Aug Dashboard.'!B55,'Aug-24 CREDIT MIS'!I:I,'Aug Dashboard.'!A55,'Aug-24 CREDIT MIS'!N:N,"Sunil Bagoria")/100000</f>
        <v>0</v>
      </c>
      <c r="E55" s="72">
        <f>COUNTIFS('Aug-24 CREDIT MIS'!U:U,"08-08-2024",'Aug-24 CREDIT MIS'!E:E,'Aug Dashboard.'!B55,'Aug-24 CREDIT MIS'!I:I,'Aug Dashboard.'!A55,'Aug-24 CREDIT MIS'!N:N,"Sunil Bagoria",'Aug-24 CREDIT MIS'!S:S,"Sanction")</f>
        <v>0</v>
      </c>
      <c r="F55" s="72">
        <f>SUMIFS('Aug-24 CREDIT MIS'!V:V,'Aug-24 CREDIT MIS'!U:U,"08-08-2024",'Aug-24 CREDIT MIS'!E:E,'Aug Dashboard.'!B55,'Aug-24 CREDIT MIS'!I:I,'Aug Dashboard.'!A55,'Aug-24 CREDIT MIS'!N:N,"Sunil Bagoria",'Aug-24 CREDIT MIS'!S:S,"Sanction")/100000</f>
        <v>0</v>
      </c>
      <c r="G55" s="72">
        <f>COUNTIFS('Aug-24 CREDIT MIS'!U:U,"08-08-2024",'Aug-24 CREDIT MIS'!E:E,'Aug Dashboard.'!B55,'Aug-24 CREDIT MIS'!I:I,'Aug Dashboard.'!A55,'Aug-24 CREDIT MIS'!N:N,"Sunil Bagoria",'Aug-24 CREDIT MIS'!S:S,"Reject")</f>
        <v>0</v>
      </c>
      <c r="H55" s="72">
        <f>SUMIFS('Aug-24 CREDIT MIS'!T:T,'Aug-24 CREDIT MIS'!U:U,"08-08-2024",'Aug-24 CREDIT MIS'!E:E,'Aug Dashboard.'!B55,'Aug-24 CREDIT MIS'!I:I,'Aug Dashboard.'!A55,'Aug-24 CREDIT MIS'!N:N,"Sunil Bagoria",'Aug-24 CREDIT MIS'!S:S,"Reject")/100000</f>
        <v>0</v>
      </c>
      <c r="I55" s="72">
        <f t="shared" si="15"/>
        <v>0</v>
      </c>
      <c r="J55" s="72">
        <f t="shared" si="16"/>
        <v>0</v>
      </c>
      <c r="K55" s="72">
        <f>COUNTIFS('Aug-24 CREDIT MIS'!AE:AE,"08-08-2024",'Aug-24 CREDIT MIS'!E:E,'Aug Dashboard.'!B55,'Aug-24 CREDIT MIS'!I:I,'Aug Dashboard.'!A55,'Aug-24 CREDIT MIS'!N:N,"Sunil Bagoria",'Aug-24 CREDIT MIS'!S:S,"Disbursed")</f>
        <v>0</v>
      </c>
      <c r="L55" s="72">
        <f>SUMIFS('Aug-24 CREDIT MIS'!V:V,'Aug-24 CREDIT MIS'!AE:AE,"08-08-2024",'Aug-24 CREDIT MIS'!E:E,'Aug Dashboard.'!B55,'Aug-24 CREDIT MIS'!I:I,'Aug Dashboard.'!A55,'Aug-24 CREDIT MIS'!N:N,"Sunil Bagoria",'Aug-24 CREDIT MIS'!S:S,"Disbursed")/100000</f>
        <v>0</v>
      </c>
      <c r="M55" s="69"/>
      <c r="N55" s="69"/>
      <c r="O55" s="128"/>
      <c r="P55" s="128"/>
    </row>
    <row r="56" spans="1:16" x14ac:dyDescent="0.25">
      <c r="A56" s="74" t="s">
        <v>180</v>
      </c>
      <c r="B56" s="73" t="s">
        <v>59</v>
      </c>
      <c r="C56" s="72">
        <f>COUNTIFS('Aug-24 CREDIT MIS'!C:C,"08-08-2024",'Aug-24 CREDIT MIS'!E:E,'Aug Dashboard.'!B56,'Aug-24 CREDIT MIS'!I:I,'Aug Dashboard.'!A56,'Aug-24 CREDIT MIS'!N:N,"Sunil Bagoria")</f>
        <v>0</v>
      </c>
      <c r="D56" s="72">
        <f>SUMIFS('Aug-24 CREDIT MIS'!T:T,'Aug-24 CREDIT MIS'!C:C,"08-08-2024",'Aug-24 CREDIT MIS'!E:E,'Aug Dashboard.'!B56,'Aug-24 CREDIT MIS'!I:I,'Aug Dashboard.'!A56,'Aug-24 CREDIT MIS'!N:N,"Sunil Bagoria")/100000</f>
        <v>0</v>
      </c>
      <c r="E56" s="72">
        <f>COUNTIFS('Aug-24 CREDIT MIS'!U:U,"08-08-2024",'Aug-24 CREDIT MIS'!E:E,'Aug Dashboard.'!B56,'Aug-24 CREDIT MIS'!I:I,'Aug Dashboard.'!A56,'Aug-24 CREDIT MIS'!N:N,"Sunil Bagoria",'Aug-24 CREDIT MIS'!S:S,"Sanction")</f>
        <v>0</v>
      </c>
      <c r="F56" s="72">
        <f>SUMIFS('Aug-24 CREDIT MIS'!V:V,'Aug-24 CREDIT MIS'!U:U,"08-08-2024",'Aug-24 CREDIT MIS'!E:E,'Aug Dashboard.'!B56,'Aug-24 CREDIT MIS'!I:I,'Aug Dashboard.'!A56,'Aug-24 CREDIT MIS'!N:N,"Sunil Bagoria",'Aug-24 CREDIT MIS'!S:S,"Sanction")/100000</f>
        <v>0</v>
      </c>
      <c r="G56" s="72">
        <f>COUNTIFS('Aug-24 CREDIT MIS'!U:U,"08-08-2024",'Aug-24 CREDIT MIS'!E:E,'Aug Dashboard.'!B56,'Aug-24 CREDIT MIS'!I:I,'Aug Dashboard.'!A56,'Aug-24 CREDIT MIS'!N:N,"Sunil Bagoria",'Aug-24 CREDIT MIS'!S:S,"Reject")</f>
        <v>0</v>
      </c>
      <c r="H56" s="72">
        <f>SUMIFS('Aug-24 CREDIT MIS'!T:T,'Aug-24 CREDIT MIS'!U:U,"08-08-2024",'Aug-24 CREDIT MIS'!E:E,'Aug Dashboard.'!B56,'Aug-24 CREDIT MIS'!I:I,'Aug Dashboard.'!A56,'Aug-24 CREDIT MIS'!N:N,"Sunil Bagoria",'Aug-24 CREDIT MIS'!S:S,"Reject")/100000</f>
        <v>0</v>
      </c>
      <c r="I56" s="72">
        <f t="shared" si="15"/>
        <v>0</v>
      </c>
      <c r="J56" s="72">
        <f t="shared" si="16"/>
        <v>0</v>
      </c>
      <c r="K56" s="72">
        <f>COUNTIFS('Aug-24 CREDIT MIS'!AE:AE,"08-08-2024",'Aug-24 CREDIT MIS'!E:E,'Aug Dashboard.'!B56,'Aug-24 CREDIT MIS'!I:I,'Aug Dashboard.'!A56,'Aug-24 CREDIT MIS'!N:N,"Sunil Bagoria",'Aug-24 CREDIT MIS'!S:S,"Disbursed")</f>
        <v>0</v>
      </c>
      <c r="L56" s="72">
        <f>SUMIFS('Aug-24 CREDIT MIS'!V:V,'Aug-24 CREDIT MIS'!AE:AE,"08-08-2024",'Aug-24 CREDIT MIS'!E:E,'Aug Dashboard.'!B56,'Aug-24 CREDIT MIS'!I:I,'Aug Dashboard.'!A56,'Aug-24 CREDIT MIS'!N:N,"Sunil Bagoria",'Aug-24 CREDIT MIS'!S:S,"Disbursed")/100000</f>
        <v>0</v>
      </c>
      <c r="M56" s="69"/>
      <c r="N56" s="69"/>
      <c r="O56" s="128"/>
      <c r="P56" s="128"/>
    </row>
    <row r="57" spans="1:16" x14ac:dyDescent="0.25">
      <c r="A57" s="74" t="s">
        <v>179</v>
      </c>
      <c r="B57" s="73" t="s">
        <v>178</v>
      </c>
      <c r="C57" s="72">
        <f>COUNTIFS('Aug-24 CREDIT MIS'!C:C,"08-08-2024",'Aug-24 CREDIT MIS'!E:E,'Aug Dashboard.'!B57,'Aug-24 CREDIT MIS'!I:I,'Aug Dashboard.'!A57,'Aug-24 CREDIT MIS'!N:N,"Sunil Bagoria")</f>
        <v>0</v>
      </c>
      <c r="D57" s="72">
        <f>SUMIFS('Aug-24 CREDIT MIS'!T:T,'Aug-24 CREDIT MIS'!C:C,"08-08-2024",'Aug-24 CREDIT MIS'!E:E,'Aug Dashboard.'!B57,'Aug-24 CREDIT MIS'!I:I,'Aug Dashboard.'!A57,'Aug-24 CREDIT MIS'!N:N,"Sunil Bagoria")/100000</f>
        <v>0</v>
      </c>
      <c r="E57" s="72">
        <f>COUNTIFS('Aug-24 CREDIT MIS'!U:U,"08-08-2024",'Aug-24 CREDIT MIS'!E:E,'Aug Dashboard.'!B57,'Aug-24 CREDIT MIS'!I:I,'Aug Dashboard.'!A57,'Aug-24 CREDIT MIS'!N:N,"Sunil Bagoria",'Aug-24 CREDIT MIS'!S:S,"Sanction")</f>
        <v>0</v>
      </c>
      <c r="F57" s="72">
        <f>SUMIFS('Aug-24 CREDIT MIS'!V:V,'Aug-24 CREDIT MIS'!U:U,"08-08-2024",'Aug-24 CREDIT MIS'!E:E,'Aug Dashboard.'!B57,'Aug-24 CREDIT MIS'!I:I,'Aug Dashboard.'!A57,'Aug-24 CREDIT MIS'!N:N,"Sunil Bagoria",'Aug-24 CREDIT MIS'!S:S,"Sanction")/100000</f>
        <v>0</v>
      </c>
      <c r="G57" s="72">
        <f>COUNTIFS('Aug-24 CREDIT MIS'!U:U,"08-08-2024",'Aug-24 CREDIT MIS'!E:E,'Aug Dashboard.'!B57,'Aug-24 CREDIT MIS'!I:I,'Aug Dashboard.'!A57,'Aug-24 CREDIT MIS'!N:N,"Sunil Bagoria",'Aug-24 CREDIT MIS'!S:S,"Reject")</f>
        <v>1</v>
      </c>
      <c r="H57" s="72">
        <f>SUMIFS('Aug-24 CREDIT MIS'!T:T,'Aug-24 CREDIT MIS'!U:U,"08-08-2024",'Aug-24 CREDIT MIS'!E:E,'Aug Dashboard.'!B57,'Aug-24 CREDIT MIS'!I:I,'Aug Dashboard.'!A57,'Aug-24 CREDIT MIS'!N:N,"Sunil Bagoria",'Aug-24 CREDIT MIS'!S:S,"Reject")/100000</f>
        <v>7</v>
      </c>
      <c r="I57" s="72">
        <f t="shared" si="15"/>
        <v>1</v>
      </c>
      <c r="J57" s="72">
        <f t="shared" si="16"/>
        <v>7</v>
      </c>
      <c r="K57" s="72">
        <f>COUNTIFS('Aug-24 CREDIT MIS'!AE:AE,"08-08-2024",'Aug-24 CREDIT MIS'!E:E,'Aug Dashboard.'!B57,'Aug-24 CREDIT MIS'!I:I,'Aug Dashboard.'!A57,'Aug-24 CREDIT MIS'!N:N,"Sunil Bagoria",'Aug-24 CREDIT MIS'!S:S,"Disbursed")</f>
        <v>0</v>
      </c>
      <c r="L57" s="72">
        <f>SUMIFS('Aug-24 CREDIT MIS'!V:V,'Aug-24 CREDIT MIS'!AE:AE,"08-08-2024",'Aug-24 CREDIT MIS'!E:E,'Aug Dashboard.'!B57,'Aug-24 CREDIT MIS'!I:I,'Aug Dashboard.'!A57,'Aug-24 CREDIT MIS'!N:N,"Sunil Bagoria",'Aug-24 CREDIT MIS'!S:S,"Disbursed")/100000</f>
        <v>0</v>
      </c>
      <c r="M57" s="69"/>
      <c r="N57" s="69"/>
      <c r="O57" s="128"/>
      <c r="P57" s="128"/>
    </row>
    <row r="58" spans="1:16" x14ac:dyDescent="0.25">
      <c r="A58" s="77" t="s">
        <v>177</v>
      </c>
      <c r="B58" s="86" t="s">
        <v>24</v>
      </c>
      <c r="C58" s="72">
        <f>COUNTIFS('Aug-24 CREDIT MIS'!C:C,"08-08-2024",'Aug-24 CREDIT MIS'!E:E,'Aug Dashboard.'!B58,'Aug-24 CREDIT MIS'!I:I,'Aug Dashboard.'!A58,'Aug-24 CREDIT MIS'!N:N,"Sunil Bagoria")</f>
        <v>0</v>
      </c>
      <c r="D58" s="72">
        <f>SUMIFS('Aug-24 CREDIT MIS'!T:T,'Aug-24 CREDIT MIS'!C:C,"08-08-2024",'Aug-24 CREDIT MIS'!E:E,'Aug Dashboard.'!B58,'Aug-24 CREDIT MIS'!I:I,'Aug Dashboard.'!A58,'Aug-24 CREDIT MIS'!N:N,"Sunil Bagoria")/100000</f>
        <v>0</v>
      </c>
      <c r="E58" s="72">
        <f>COUNTIFS('Aug-24 CREDIT MIS'!U:U,"08-08-2024",'Aug-24 CREDIT MIS'!E:E,'Aug Dashboard.'!B58,'Aug-24 CREDIT MIS'!I:I,'Aug Dashboard.'!A58,'Aug-24 CREDIT MIS'!N:N,"Sunil Bagoria",'Aug-24 CREDIT MIS'!S:S,"Sanction")</f>
        <v>0</v>
      </c>
      <c r="F58" s="72">
        <f>SUMIFS('Aug-24 CREDIT MIS'!V:V,'Aug-24 CREDIT MIS'!U:U,"08-08-2024",'Aug-24 CREDIT MIS'!E:E,'Aug Dashboard.'!B58,'Aug-24 CREDIT MIS'!I:I,'Aug Dashboard.'!A58,'Aug-24 CREDIT MIS'!N:N,"Sunil Bagoria",'Aug-24 CREDIT MIS'!S:S,"Sanction")/100000</f>
        <v>0</v>
      </c>
      <c r="G58" s="72">
        <f>COUNTIFS('Aug-24 CREDIT MIS'!U:U,"08-08-2024",'Aug-24 CREDIT MIS'!E:E,'Aug Dashboard.'!B58,'Aug-24 CREDIT MIS'!I:I,'Aug Dashboard.'!A58,'Aug-24 CREDIT MIS'!N:N,"Sunil Bagoria",'Aug-24 CREDIT MIS'!S:S,"Reject")</f>
        <v>0</v>
      </c>
      <c r="H58" s="72">
        <f>SUMIFS('Aug-24 CREDIT MIS'!T:T,'Aug-24 CREDIT MIS'!U:U,"08-08-2024",'Aug-24 CREDIT MIS'!E:E,'Aug Dashboard.'!B58,'Aug-24 CREDIT MIS'!I:I,'Aug Dashboard.'!A58,'Aug-24 CREDIT MIS'!N:N,"Sunil Bagoria",'Aug-24 CREDIT MIS'!S:S,"Reject")/100000</f>
        <v>0</v>
      </c>
      <c r="I58" s="72">
        <f t="shared" si="15"/>
        <v>0</v>
      </c>
      <c r="J58" s="72">
        <f t="shared" si="16"/>
        <v>0</v>
      </c>
      <c r="K58" s="72">
        <f>COUNTIFS('Aug-24 CREDIT MIS'!AE:AE,"08-08-2024",'Aug-24 CREDIT MIS'!E:E,'Aug Dashboard.'!B58,'Aug-24 CREDIT MIS'!I:I,'Aug Dashboard.'!A58,'Aug-24 CREDIT MIS'!N:N,"Sunil Bagoria",'Aug-24 CREDIT MIS'!S:S,"Disbursed")</f>
        <v>0</v>
      </c>
      <c r="L58" s="72">
        <f>SUMIFS('Aug-24 CREDIT MIS'!V:V,'Aug-24 CREDIT MIS'!AE:AE,"08-08-2024",'Aug-24 CREDIT MIS'!E:E,'Aug Dashboard.'!B58,'Aug-24 CREDIT MIS'!I:I,'Aug Dashboard.'!A58,'Aug-24 CREDIT MIS'!N:N,"Sunil Bagoria",'Aug-24 CREDIT MIS'!S:S,"Disbursed")/100000</f>
        <v>0</v>
      </c>
      <c r="M58" s="69"/>
      <c r="N58" s="69"/>
      <c r="O58" s="128"/>
      <c r="P58" s="128"/>
    </row>
    <row r="59" spans="1:16" x14ac:dyDescent="0.25">
      <c r="A59" s="81" t="s">
        <v>176</v>
      </c>
      <c r="B59" s="73" t="s">
        <v>56</v>
      </c>
      <c r="C59" s="72">
        <f>COUNTIFS('Aug-24 CREDIT MIS'!C:C,"08-08-2024",'Aug-24 CREDIT MIS'!E:E,'Aug Dashboard.'!B59,'Aug-24 CREDIT MIS'!I:I,'Aug Dashboard.'!A59,'Aug-24 CREDIT MIS'!N:N,"Sunil Bagoria")</f>
        <v>0</v>
      </c>
      <c r="D59" s="72">
        <f>SUMIFS('Aug-24 CREDIT MIS'!T:T,'Aug-24 CREDIT MIS'!C:C,"08-08-2024",'Aug-24 CREDIT MIS'!E:E,'Aug Dashboard.'!B59,'Aug-24 CREDIT MIS'!I:I,'Aug Dashboard.'!A59,'Aug-24 CREDIT MIS'!N:N,"Sunil Bagoria")/100000</f>
        <v>0</v>
      </c>
      <c r="E59" s="72">
        <f>COUNTIFS('Aug-24 CREDIT MIS'!U:U,"08-08-2024",'Aug-24 CREDIT MIS'!E:E,'Aug Dashboard.'!B59,'Aug-24 CREDIT MIS'!I:I,'Aug Dashboard.'!A59,'Aug-24 CREDIT MIS'!N:N,"Sunil Bagoria",'Aug-24 CREDIT MIS'!S:S,"Sanction")</f>
        <v>0</v>
      </c>
      <c r="F59" s="72">
        <f>SUMIFS('Aug-24 CREDIT MIS'!V:V,'Aug-24 CREDIT MIS'!U:U,"08-08-2024",'Aug-24 CREDIT MIS'!E:E,'Aug Dashboard.'!B59,'Aug-24 CREDIT MIS'!I:I,'Aug Dashboard.'!A59,'Aug-24 CREDIT MIS'!N:N,"Sunil Bagoria",'Aug-24 CREDIT MIS'!S:S,"Sanction")/100000</f>
        <v>0</v>
      </c>
      <c r="G59" s="72">
        <f>COUNTIFS('Aug-24 CREDIT MIS'!U:U,"08-08-2024",'Aug-24 CREDIT MIS'!E:E,'Aug Dashboard.'!B59,'Aug-24 CREDIT MIS'!I:I,'Aug Dashboard.'!A59,'Aug-24 CREDIT MIS'!N:N,"Sunil Bagoria",'Aug-24 CREDIT MIS'!S:S,"Reject")</f>
        <v>2</v>
      </c>
      <c r="H59" s="72">
        <f>SUMIFS('Aug-24 CREDIT MIS'!T:T,'Aug-24 CREDIT MIS'!U:U,"08-08-2024",'Aug-24 CREDIT MIS'!E:E,'Aug Dashboard.'!B59,'Aug-24 CREDIT MIS'!I:I,'Aug Dashboard.'!A59,'Aug-24 CREDIT MIS'!N:N,"Sunil Bagoria",'Aug-24 CREDIT MIS'!S:S,"Reject")/100000</f>
        <v>15.99</v>
      </c>
      <c r="I59" s="72">
        <f t="shared" si="15"/>
        <v>2</v>
      </c>
      <c r="J59" s="72">
        <f t="shared" si="16"/>
        <v>15.99</v>
      </c>
      <c r="K59" s="72">
        <f>COUNTIFS('Aug-24 CREDIT MIS'!AE:AE,"08-08-2024",'Aug-24 CREDIT MIS'!E:E,'Aug Dashboard.'!B59,'Aug-24 CREDIT MIS'!I:I,'Aug Dashboard.'!A59,'Aug-24 CREDIT MIS'!N:N,"Sunil Bagoria",'Aug-24 CREDIT MIS'!S:S,"Disbursed")</f>
        <v>0</v>
      </c>
      <c r="L59" s="72">
        <f>SUMIFS('Aug-24 CREDIT MIS'!V:V,'Aug-24 CREDIT MIS'!AE:AE,"08-08-2024",'Aug-24 CREDIT MIS'!E:E,'Aug Dashboard.'!B59,'Aug-24 CREDIT MIS'!I:I,'Aug Dashboard.'!A59,'Aug-24 CREDIT MIS'!N:N,"Sunil Bagoria",'Aug-24 CREDIT MIS'!S:S,"Disbursed")/100000</f>
        <v>0</v>
      </c>
      <c r="M59" s="69"/>
      <c r="N59" s="69"/>
      <c r="O59" s="128"/>
      <c r="P59" s="128"/>
    </row>
    <row r="60" spans="1:16" x14ac:dyDescent="0.25">
      <c r="A60" s="74" t="s">
        <v>127</v>
      </c>
      <c r="B60" s="73" t="s">
        <v>175</v>
      </c>
      <c r="C60" s="72">
        <f>COUNTIFS('Aug-24 CREDIT MIS'!C:C,"08-08-2024",'Aug-24 CREDIT MIS'!E:E,'Aug Dashboard.'!B60,'Aug-24 CREDIT MIS'!I:I,'Aug Dashboard.'!A60,'Aug-24 CREDIT MIS'!N:N,"Sunil Bagoria")</f>
        <v>0</v>
      </c>
      <c r="D60" s="72">
        <f>SUMIFS('Aug-24 CREDIT MIS'!T:T,'Aug-24 CREDIT MIS'!C:C,"08-08-2024",'Aug-24 CREDIT MIS'!E:E,'Aug Dashboard.'!B60,'Aug-24 CREDIT MIS'!I:I,'Aug Dashboard.'!A60,'Aug-24 CREDIT MIS'!N:N,"Sunil Bagoria")/100000</f>
        <v>0</v>
      </c>
      <c r="E60" s="72">
        <f>COUNTIFS('Aug-24 CREDIT MIS'!U:U,"08-08-2024",'Aug-24 CREDIT MIS'!E:E,'Aug Dashboard.'!B60,'Aug-24 CREDIT MIS'!I:I,'Aug Dashboard.'!A60,'Aug-24 CREDIT MIS'!N:N,"Sunil Bagoria",'Aug-24 CREDIT MIS'!S:S,"Sanction")</f>
        <v>0</v>
      </c>
      <c r="F60" s="72">
        <f>SUMIFS('Aug-24 CREDIT MIS'!V:V,'Aug-24 CREDIT MIS'!U:U,"08-08-2024",'Aug-24 CREDIT MIS'!E:E,'Aug Dashboard.'!B60,'Aug-24 CREDIT MIS'!I:I,'Aug Dashboard.'!A60,'Aug-24 CREDIT MIS'!N:N,"Sunil Bagoria",'Aug-24 CREDIT MIS'!S:S,"Sanction")/100000</f>
        <v>0</v>
      </c>
      <c r="G60" s="72">
        <f>COUNTIFS('Aug-24 CREDIT MIS'!U:U,"08-08-2024",'Aug-24 CREDIT MIS'!E:E,'Aug Dashboard.'!B60,'Aug-24 CREDIT MIS'!I:I,'Aug Dashboard.'!A60,'Aug-24 CREDIT MIS'!N:N,"Sunil Bagoria",'Aug-24 CREDIT MIS'!S:S,"Reject")</f>
        <v>0</v>
      </c>
      <c r="H60" s="72">
        <f>SUMIFS('Aug-24 CREDIT MIS'!T:T,'Aug-24 CREDIT MIS'!U:U,"08-08-2024",'Aug-24 CREDIT MIS'!E:E,'Aug Dashboard.'!B60,'Aug-24 CREDIT MIS'!I:I,'Aug Dashboard.'!A60,'Aug-24 CREDIT MIS'!N:N,"Sunil Bagoria",'Aug-24 CREDIT MIS'!S:S,"Reject")/100000</f>
        <v>0</v>
      </c>
      <c r="I60" s="72">
        <f t="shared" si="15"/>
        <v>0</v>
      </c>
      <c r="J60" s="72">
        <f t="shared" si="16"/>
        <v>0</v>
      </c>
      <c r="K60" s="72">
        <f>COUNTIFS('Aug-24 CREDIT MIS'!AE:AE,"08-08-2024",'Aug-24 CREDIT MIS'!E:E,'Aug Dashboard.'!B60,'Aug-24 CREDIT MIS'!I:I,'Aug Dashboard.'!A60,'Aug-24 CREDIT MIS'!N:N,"Sunil Bagoria",'Aug-24 CREDIT MIS'!S:S,"Disbursed")</f>
        <v>0</v>
      </c>
      <c r="L60" s="72">
        <f>SUMIFS('Aug-24 CREDIT MIS'!V:V,'Aug-24 CREDIT MIS'!AE:AE,"08-08-2024",'Aug-24 CREDIT MIS'!E:E,'Aug Dashboard.'!B60,'Aug-24 CREDIT MIS'!I:I,'Aug Dashboard.'!A60,'Aug-24 CREDIT MIS'!N:N,"Sunil Bagoria",'Aug-24 CREDIT MIS'!S:S,"Disbursed")/100000</f>
        <v>0</v>
      </c>
      <c r="M60" s="69"/>
      <c r="N60" s="69"/>
      <c r="O60" s="128"/>
      <c r="P60" s="128"/>
    </row>
    <row r="61" spans="1:16" x14ac:dyDescent="0.25">
      <c r="A61" t="s">
        <v>174</v>
      </c>
      <c r="B61" t="s">
        <v>59</v>
      </c>
      <c r="C61" s="72">
        <f>COUNTIFS('Aug-24 CREDIT MIS'!C:C,"08-08-2024",'Aug-24 CREDIT MIS'!E:E,'Aug Dashboard.'!B61,'Aug-24 CREDIT MIS'!I:I,'Aug Dashboard.'!A61,'Aug-24 CREDIT MIS'!N:N,"Sunil Bagoria")</f>
        <v>0</v>
      </c>
      <c r="D61" s="72">
        <f>SUMIFS('Aug-24 CREDIT MIS'!T:T,'Aug-24 CREDIT MIS'!C:C,"08-08-2024",'Aug-24 CREDIT MIS'!E:E,'Aug Dashboard.'!B61,'Aug-24 CREDIT MIS'!I:I,'Aug Dashboard.'!A61,'Aug-24 CREDIT MIS'!N:N,"Sunil Bagoria")/100000</f>
        <v>0</v>
      </c>
      <c r="E61" s="72">
        <f>COUNTIFS('Aug-24 CREDIT MIS'!U:U,"08-08-2024",'Aug-24 CREDIT MIS'!E:E,'Aug Dashboard.'!B61,'Aug-24 CREDIT MIS'!I:I,'Aug Dashboard.'!A61,'Aug-24 CREDIT MIS'!N:N,"Sunil Bagoria",'Aug-24 CREDIT MIS'!S:S,"Sanction")</f>
        <v>0</v>
      </c>
      <c r="F61" s="72">
        <f>SUMIFS('Aug-24 CREDIT MIS'!V:V,'Aug-24 CREDIT MIS'!U:U,"08-08-2024",'Aug-24 CREDIT MIS'!E:E,'Aug Dashboard.'!B61,'Aug-24 CREDIT MIS'!I:I,'Aug Dashboard.'!A61,'Aug-24 CREDIT MIS'!N:N,"Sunil Bagoria",'Aug-24 CREDIT MIS'!S:S,"Sanction")/100000</f>
        <v>0</v>
      </c>
      <c r="G61" s="72">
        <f>COUNTIFS('Aug-24 CREDIT MIS'!U:U,"08-08-2024",'Aug-24 CREDIT MIS'!E:E,'Aug Dashboard.'!B61,'Aug-24 CREDIT MIS'!I:I,'Aug Dashboard.'!A61,'Aug-24 CREDIT MIS'!N:N,"Sunil Bagoria",'Aug-24 CREDIT MIS'!S:S,"Reject")</f>
        <v>0</v>
      </c>
      <c r="H61" s="72">
        <f>SUMIFS('Aug-24 CREDIT MIS'!T:T,'Aug-24 CREDIT MIS'!U:U,"08-08-2024",'Aug-24 CREDIT MIS'!E:E,'Aug Dashboard.'!B61,'Aug-24 CREDIT MIS'!I:I,'Aug Dashboard.'!A61,'Aug-24 CREDIT MIS'!N:N,"Sunil Bagoria",'Aug-24 CREDIT MIS'!S:S,"Reject")/100000</f>
        <v>0</v>
      </c>
      <c r="I61" s="72">
        <f t="shared" si="15"/>
        <v>0</v>
      </c>
      <c r="J61" s="72">
        <f t="shared" si="16"/>
        <v>0</v>
      </c>
      <c r="K61" s="72">
        <f>COUNTIFS('Aug-24 CREDIT MIS'!AE:AE,"08-08-2024",'Aug-24 CREDIT MIS'!E:E,'Aug Dashboard.'!B61,'Aug-24 CREDIT MIS'!I:I,'Aug Dashboard.'!A61,'Aug-24 CREDIT MIS'!N:N,"Sunil Bagoria",'Aug-24 CREDIT MIS'!S:S,"Disbursed")</f>
        <v>0</v>
      </c>
      <c r="L61" s="72">
        <f>SUMIFS('Aug-24 CREDIT MIS'!V:V,'Aug-24 CREDIT MIS'!AE:AE,"08-08-2024",'Aug-24 CREDIT MIS'!E:E,'Aug Dashboard.'!B61,'Aug-24 CREDIT MIS'!I:I,'Aug Dashboard.'!A61,'Aug-24 CREDIT MIS'!N:N,"Sunil Bagoria",'Aug-24 CREDIT MIS'!S:S,"Disbursed")/100000</f>
        <v>0</v>
      </c>
      <c r="M61" s="69"/>
      <c r="N61" s="69"/>
      <c r="O61" s="128"/>
      <c r="P61" s="128"/>
    </row>
    <row r="62" spans="1:16" x14ac:dyDescent="0.25">
      <c r="A62" s="74" t="s">
        <v>173</v>
      </c>
      <c r="B62" s="81" t="s">
        <v>6</v>
      </c>
      <c r="C62" s="72">
        <f>COUNTIFS('Aug-24 CREDIT MIS'!C:C,"08-08-2024",'Aug-24 CREDIT MIS'!E:E,'Aug Dashboard.'!B62,'Aug-24 CREDIT MIS'!I:I,'Aug Dashboard.'!A62,'Aug-24 CREDIT MIS'!N:N,"Sunil Bagoria")</f>
        <v>0</v>
      </c>
      <c r="D62" s="72">
        <f>SUMIFS('Aug-24 CREDIT MIS'!T:T,'Aug-24 CREDIT MIS'!C:C,"08-08-2024",'Aug-24 CREDIT MIS'!E:E,'Aug Dashboard.'!B62,'Aug-24 CREDIT MIS'!I:I,'Aug Dashboard.'!A62,'Aug-24 CREDIT MIS'!N:N,"Sunil Bagoria")/100000</f>
        <v>0</v>
      </c>
      <c r="E62" s="72">
        <f>COUNTIFS('Aug-24 CREDIT MIS'!U:U,"08-08-2024",'Aug-24 CREDIT MIS'!E:E,'Aug Dashboard.'!B62,'Aug-24 CREDIT MIS'!I:I,'Aug Dashboard.'!A62,'Aug-24 CREDIT MIS'!N:N,"Sunil Bagoria",'Aug-24 CREDIT MIS'!S:S,"Sanction")</f>
        <v>0</v>
      </c>
      <c r="F62" s="72">
        <f>SUMIFS('Aug-24 CREDIT MIS'!V:V,'Aug-24 CREDIT MIS'!U:U,"08-08-2024",'Aug-24 CREDIT MIS'!E:E,'Aug Dashboard.'!B62,'Aug-24 CREDIT MIS'!I:I,'Aug Dashboard.'!A62,'Aug-24 CREDIT MIS'!N:N,"Sunil Bagoria",'Aug-24 CREDIT MIS'!S:S,"Sanction")/100000</f>
        <v>0</v>
      </c>
      <c r="G62" s="72">
        <f>COUNTIFS('Aug-24 CREDIT MIS'!U:U,"08-08-2024",'Aug-24 CREDIT MIS'!E:E,'Aug Dashboard.'!B62,'Aug-24 CREDIT MIS'!I:I,'Aug Dashboard.'!A62,'Aug-24 CREDIT MIS'!N:N,"Sunil Bagoria",'Aug-24 CREDIT MIS'!S:S,"Reject")</f>
        <v>1</v>
      </c>
      <c r="H62" s="72">
        <f>SUMIFS('Aug-24 CREDIT MIS'!T:T,'Aug-24 CREDIT MIS'!U:U,"08-08-2024",'Aug-24 CREDIT MIS'!E:E,'Aug Dashboard.'!B62,'Aug-24 CREDIT MIS'!I:I,'Aug Dashboard.'!A62,'Aug-24 CREDIT MIS'!N:N,"Sunil Bagoria",'Aug-24 CREDIT MIS'!S:S,"Reject")/100000</f>
        <v>7</v>
      </c>
      <c r="I62" s="72">
        <f t="shared" si="15"/>
        <v>1</v>
      </c>
      <c r="J62" s="72">
        <f t="shared" si="16"/>
        <v>7</v>
      </c>
      <c r="K62" s="72">
        <f>COUNTIFS('Aug-24 CREDIT MIS'!AE:AE,"08-08-2024",'Aug-24 CREDIT MIS'!E:E,'Aug Dashboard.'!B62,'Aug-24 CREDIT MIS'!I:I,'Aug Dashboard.'!A62,'Aug-24 CREDIT MIS'!N:N,"Sunil Bagoria",'Aug-24 CREDIT MIS'!S:S,"Disbursed")</f>
        <v>0</v>
      </c>
      <c r="L62" s="72">
        <f>SUMIFS('Aug-24 CREDIT MIS'!V:V,'Aug-24 CREDIT MIS'!AE:AE,"08-08-2024",'Aug-24 CREDIT MIS'!E:E,'Aug Dashboard.'!B62,'Aug-24 CREDIT MIS'!I:I,'Aug Dashboard.'!A62,'Aug-24 CREDIT MIS'!N:N,"Sunil Bagoria",'Aug-24 CREDIT MIS'!S:S,"Disbursed")/100000</f>
        <v>0</v>
      </c>
      <c r="M62" s="69"/>
      <c r="N62" s="69"/>
      <c r="O62" s="128"/>
      <c r="P62" s="128"/>
    </row>
    <row r="63" spans="1:16" x14ac:dyDescent="0.25">
      <c r="A63" s="87" t="s">
        <v>172</v>
      </c>
      <c r="B63" s="86" t="s">
        <v>57</v>
      </c>
      <c r="C63" s="72">
        <f>COUNTIFS('Aug-24 CREDIT MIS'!C:C,"08-08-2024",'Aug-24 CREDIT MIS'!E:E,'Aug Dashboard.'!B63,'Aug-24 CREDIT MIS'!I:I,'Aug Dashboard.'!A63,'Aug-24 CREDIT MIS'!N:N,"Sunil Bagoria")</f>
        <v>1</v>
      </c>
      <c r="D63" s="72">
        <f>SUMIFS('Aug-24 CREDIT MIS'!T:T,'Aug-24 CREDIT MIS'!C:C,"08-08-2024",'Aug-24 CREDIT MIS'!E:E,'Aug Dashboard.'!B63,'Aug-24 CREDIT MIS'!I:I,'Aug Dashboard.'!A63,'Aug-24 CREDIT MIS'!N:N,"Sunil Bagoria")/100000</f>
        <v>7</v>
      </c>
      <c r="E63" s="72">
        <f>COUNTIFS('Aug-24 CREDIT MIS'!U:U,"08-08-2024",'Aug-24 CREDIT MIS'!E:E,'Aug Dashboard.'!B63,'Aug-24 CREDIT MIS'!I:I,'Aug Dashboard.'!A63,'Aug-24 CREDIT MIS'!N:N,"Sunil Bagoria",'Aug-24 CREDIT MIS'!S:S,"Sanction")</f>
        <v>0</v>
      </c>
      <c r="F63" s="72">
        <f>SUMIFS('Aug-24 CREDIT MIS'!V:V,'Aug-24 CREDIT MIS'!U:U,"08-08-2024",'Aug-24 CREDIT MIS'!E:E,'Aug Dashboard.'!B63,'Aug-24 CREDIT MIS'!I:I,'Aug Dashboard.'!A63,'Aug-24 CREDIT MIS'!N:N,"Sunil Bagoria",'Aug-24 CREDIT MIS'!S:S,"Sanction")/100000</f>
        <v>0</v>
      </c>
      <c r="G63" s="72">
        <f>COUNTIFS('Aug-24 CREDIT MIS'!U:U,"08-08-2024",'Aug-24 CREDIT MIS'!E:E,'Aug Dashboard.'!B63,'Aug-24 CREDIT MIS'!I:I,'Aug Dashboard.'!A63,'Aug-24 CREDIT MIS'!N:N,"Sunil Bagoria",'Aug-24 CREDIT MIS'!S:S,"Reject")</f>
        <v>0</v>
      </c>
      <c r="H63" s="72">
        <f>SUMIFS('Aug-24 CREDIT MIS'!T:T,'Aug-24 CREDIT MIS'!U:U,"08-08-2024",'Aug-24 CREDIT MIS'!E:E,'Aug Dashboard.'!B63,'Aug-24 CREDIT MIS'!I:I,'Aug Dashboard.'!A63,'Aug-24 CREDIT MIS'!N:N,"Sunil Bagoria",'Aug-24 CREDIT MIS'!S:S,"Reject")/100000</f>
        <v>0</v>
      </c>
      <c r="I63" s="72">
        <f t="shared" si="15"/>
        <v>0</v>
      </c>
      <c r="J63" s="72">
        <f t="shared" si="16"/>
        <v>0</v>
      </c>
      <c r="K63" s="72">
        <f>COUNTIFS('Aug-24 CREDIT MIS'!AE:AE,"08-08-2024",'Aug-24 CREDIT MIS'!E:E,'Aug Dashboard.'!B63,'Aug-24 CREDIT MIS'!I:I,'Aug Dashboard.'!A63,'Aug-24 CREDIT MIS'!N:N,"Sunil Bagoria",'Aug-24 CREDIT MIS'!S:S,"Disbursed")</f>
        <v>0</v>
      </c>
      <c r="L63" s="72">
        <f>SUMIFS('Aug-24 CREDIT MIS'!V:V,'Aug-24 CREDIT MIS'!AE:AE,"08-08-2024",'Aug-24 CREDIT MIS'!E:E,'Aug Dashboard.'!B63,'Aug-24 CREDIT MIS'!I:I,'Aug Dashboard.'!A63,'Aug-24 CREDIT MIS'!N:N,"Sunil Bagoria",'Aug-24 CREDIT MIS'!S:S,"Disbursed")/100000</f>
        <v>0</v>
      </c>
      <c r="M63" s="69"/>
      <c r="N63" s="69"/>
      <c r="O63" s="128"/>
      <c r="P63" s="128"/>
    </row>
    <row r="64" spans="1:16" x14ac:dyDescent="0.25">
      <c r="A64" s="171" t="s">
        <v>118</v>
      </c>
      <c r="B64" s="172"/>
      <c r="C64" s="83">
        <f>SUM(C42:C63)</f>
        <v>1</v>
      </c>
      <c r="D64" s="83">
        <f t="shared" ref="D64:L64" si="19">SUM(D42:D63)</f>
        <v>7</v>
      </c>
      <c r="E64" s="83">
        <f t="shared" si="19"/>
        <v>0</v>
      </c>
      <c r="F64" s="83">
        <f t="shared" si="19"/>
        <v>0</v>
      </c>
      <c r="G64" s="83">
        <f t="shared" si="19"/>
        <v>5</v>
      </c>
      <c r="H64" s="83">
        <f t="shared" si="19"/>
        <v>32.99</v>
      </c>
      <c r="I64" s="83">
        <f t="shared" si="19"/>
        <v>5</v>
      </c>
      <c r="J64" s="83">
        <f t="shared" si="19"/>
        <v>32.99</v>
      </c>
      <c r="K64" s="83">
        <f t="shared" si="19"/>
        <v>0</v>
      </c>
      <c r="L64" s="83">
        <f t="shared" si="19"/>
        <v>0</v>
      </c>
      <c r="M64" s="69"/>
      <c r="N64" s="69"/>
      <c r="O64" s="128"/>
      <c r="P64" s="128"/>
    </row>
    <row r="65" spans="1:16" x14ac:dyDescent="0.25">
      <c r="A65" s="86" t="s">
        <v>171</v>
      </c>
      <c r="B65" s="84" t="s">
        <v>67</v>
      </c>
      <c r="C65" s="72">
        <f>COUNTIFS('Aug-24 CREDIT MIS'!C:C,"08-08-2024",'Aug-24 CREDIT MIS'!E:E,'Aug Dashboard.'!B65,'Aug-24 CREDIT MIS'!I:I,'Aug Dashboard.'!A65,'Aug-24 CREDIT MIS'!N:N,"Mohan Shankar Sharma")</f>
        <v>1</v>
      </c>
      <c r="D65" s="72">
        <f>SUMIFS('Aug-24 CREDIT MIS'!T:T,'Aug-24 CREDIT MIS'!C:C,"08-08-2024",'Aug-24 CREDIT MIS'!E:E,'Aug Dashboard.'!B65,'Aug-24 CREDIT MIS'!I:I,'Aug Dashboard.'!A65,'Aug-24 CREDIT MIS'!N:N,"Mohan Shankar Sharma")/100000</f>
        <v>4</v>
      </c>
      <c r="E65" s="72">
        <f>COUNTIFS('Aug-24 CREDIT MIS'!U:U,"08-08-2024",'Aug-24 CREDIT MIS'!E:E,'Aug Dashboard.'!B65,'Aug-24 CREDIT MIS'!I:I,'Aug Dashboard.'!A65,'Aug-24 CREDIT MIS'!N:N,"Mohan Shankar Sharma",'Aug-24 CREDIT MIS'!S:S,"Sanction")</f>
        <v>0</v>
      </c>
      <c r="F65" s="72">
        <f>SUMIFS('Aug-24 CREDIT MIS'!V:V,'Aug-24 CREDIT MIS'!U:U,"08-08-2024",'Aug-24 CREDIT MIS'!E:E,'Aug Dashboard.'!B65,'Aug-24 CREDIT MIS'!I:I,'Aug Dashboard.'!A65,'Aug-24 CREDIT MIS'!N:N,"Mohan Shankar Sharma",'Aug-24 CREDIT MIS'!S:S,"Sanction")/100000</f>
        <v>0</v>
      </c>
      <c r="G65" s="72">
        <f>COUNTIFS('Aug-24 CREDIT MIS'!U:U,"08-08-2024",'Aug-24 CREDIT MIS'!E:E,'Aug Dashboard.'!B65,'Aug-24 CREDIT MIS'!I:I,'Aug Dashboard.'!A65,'Aug-24 CREDIT MIS'!N:N,"Mohan Shankar Sharma",'Aug-24 CREDIT MIS'!S:S,"Reject")</f>
        <v>0</v>
      </c>
      <c r="H65" s="72">
        <f>SUMIFS('Aug-24 CREDIT MIS'!T:T,'Aug-24 CREDIT MIS'!U:U,"08-08-2024",'Aug-24 CREDIT MIS'!E:E,'Aug Dashboard.'!B65,'Aug-24 CREDIT MIS'!I:I,'Aug Dashboard.'!A65,'Aug-24 CREDIT MIS'!N:N,"Mohan Shankar Sharma",'Aug-24 CREDIT MIS'!S:S,"Reject")/100000</f>
        <v>0</v>
      </c>
      <c r="I65" s="72">
        <f t="shared" ref="I65:I70" si="20">E65+G65</f>
        <v>0</v>
      </c>
      <c r="J65" s="72">
        <f t="shared" ref="J65:J70" si="21">H65+F65</f>
        <v>0</v>
      </c>
      <c r="K65" s="72">
        <f>COUNTIFS('Aug-24 CREDIT MIS'!AE:AE,"08-08-2024",'Aug-24 CREDIT MIS'!E:E,'Aug Dashboard.'!B65,'Aug-24 CREDIT MIS'!I:I,'Aug Dashboard.'!A65,'Aug-24 CREDIT MIS'!N:N,"Mohan Shankar Sharma",'Aug-24 CREDIT MIS'!S:S,"Disbursed")</f>
        <v>0</v>
      </c>
      <c r="L65" s="72">
        <f>SUMIFS('Aug-24 CREDIT MIS'!V:V,'Aug-24 CREDIT MIS'!AE:AE,"08-08-2024",'Aug-24 CREDIT MIS'!E:E,'Aug Dashboard.'!B65,'Aug-24 CREDIT MIS'!I:I,'Aug Dashboard.'!A65,'Aug-24 CREDIT MIS'!N:N,"Mohan Shankar Sharma",'Aug-24 CREDIT MIS'!S:S,"Disbursed")/100000</f>
        <v>0</v>
      </c>
      <c r="M65" s="69"/>
      <c r="N65" s="69"/>
      <c r="O65" s="128"/>
      <c r="P65" s="128"/>
    </row>
    <row r="66" spans="1:16" x14ac:dyDescent="0.25">
      <c r="A66" s="85" t="s">
        <v>170</v>
      </c>
      <c r="B66" s="84" t="s">
        <v>36</v>
      </c>
      <c r="C66" s="72">
        <f>COUNTIFS('Aug-24 CREDIT MIS'!C:C,"08-08-2024",'Aug-24 CREDIT MIS'!E:E,'Aug Dashboard.'!B66,'Aug-24 CREDIT MIS'!I:I,'Aug Dashboard.'!A66,'Aug-24 CREDIT MIS'!N:N,"Mohan Shankar Sharma")</f>
        <v>0</v>
      </c>
      <c r="D66" s="72">
        <f>SUMIFS('Aug-24 CREDIT MIS'!T:T,'Aug-24 CREDIT MIS'!C:C,"08-08-2024",'Aug-24 CREDIT MIS'!E:E,'Aug Dashboard.'!B66,'Aug-24 CREDIT MIS'!I:I,'Aug Dashboard.'!A66,'Aug-24 CREDIT MIS'!N:N,"Mohan Shankar Sharma")/100000</f>
        <v>0</v>
      </c>
      <c r="E66" s="72">
        <f>COUNTIFS('Aug-24 CREDIT MIS'!U:U,"08-08-2024",'Aug-24 CREDIT MIS'!E:E,'Aug Dashboard.'!B66,'Aug-24 CREDIT MIS'!I:I,'Aug Dashboard.'!A66,'Aug-24 CREDIT MIS'!N:N,"Mohan Shankar Sharma",'Aug-24 CREDIT MIS'!S:S,"Sanction")</f>
        <v>0</v>
      </c>
      <c r="F66" s="72">
        <f>SUMIFS('Aug-24 CREDIT MIS'!V:V,'Aug-24 CREDIT MIS'!U:U,"08-08-2024",'Aug-24 CREDIT MIS'!E:E,'Aug Dashboard.'!B66,'Aug-24 CREDIT MIS'!I:I,'Aug Dashboard.'!A66,'Aug-24 CREDIT MIS'!N:N,"Mohan Shankar Sharma",'Aug-24 CREDIT MIS'!S:S,"Sanction")/100000</f>
        <v>0</v>
      </c>
      <c r="G66" s="72">
        <f>COUNTIFS('Aug-24 CREDIT MIS'!U:U,"08-08-2024",'Aug-24 CREDIT MIS'!E:E,'Aug Dashboard.'!B66,'Aug-24 CREDIT MIS'!I:I,'Aug Dashboard.'!A66,'Aug-24 CREDIT MIS'!N:N,"Mohan Shankar Sharma",'Aug-24 CREDIT MIS'!S:S,"Reject")</f>
        <v>0</v>
      </c>
      <c r="H66" s="72">
        <f>SUMIFS('Aug-24 CREDIT MIS'!T:T,'Aug-24 CREDIT MIS'!U:U,"08-08-2024",'Aug-24 CREDIT MIS'!E:E,'Aug Dashboard.'!B66,'Aug-24 CREDIT MIS'!I:I,'Aug Dashboard.'!A66,'Aug-24 CREDIT MIS'!N:N,"Mohan Shankar Sharma",'Aug-24 CREDIT MIS'!S:S,"Reject")/100000</f>
        <v>0</v>
      </c>
      <c r="I66" s="72">
        <f t="shared" si="20"/>
        <v>0</v>
      </c>
      <c r="J66" s="72">
        <f t="shared" si="21"/>
        <v>0</v>
      </c>
      <c r="K66" s="72">
        <f>COUNTIFS('Aug-24 CREDIT MIS'!AE:AE,"08-08-2024",'Aug-24 CREDIT MIS'!E:E,'Aug Dashboard.'!B66,'Aug-24 CREDIT MIS'!I:I,'Aug Dashboard.'!A66,'Aug-24 CREDIT MIS'!N:N,"Mohan Shankar Sharma",'Aug-24 CREDIT MIS'!S:S,"Disbursed")</f>
        <v>0</v>
      </c>
      <c r="L66" s="72">
        <f>SUMIFS('Aug-24 CREDIT MIS'!V:V,'Aug-24 CREDIT MIS'!AE:AE,"08-08-2024",'Aug-24 CREDIT MIS'!E:E,'Aug Dashboard.'!B66,'Aug-24 CREDIT MIS'!I:I,'Aug Dashboard.'!A66,'Aug-24 CREDIT MIS'!N:N,"Mohan Shankar Sharma",'Aug-24 CREDIT MIS'!S:S,"Disbursed")/100000</f>
        <v>0</v>
      </c>
      <c r="M66" s="69"/>
      <c r="N66" s="69"/>
      <c r="O66" s="128"/>
      <c r="P66" s="128"/>
    </row>
    <row r="67" spans="1:16" x14ac:dyDescent="0.25">
      <c r="A67" s="85" t="s">
        <v>169</v>
      </c>
      <c r="B67" s="84" t="s">
        <v>41</v>
      </c>
      <c r="C67" s="72">
        <f>COUNTIFS('Aug-24 CREDIT MIS'!C:C,"08-08-2024",'Aug-24 CREDIT MIS'!E:E,'Aug Dashboard.'!B67,'Aug-24 CREDIT MIS'!I:I,'Aug Dashboard.'!A67,'Aug-24 CREDIT MIS'!N:N,"Mohan Shankar Sharma")</f>
        <v>0</v>
      </c>
      <c r="D67" s="72">
        <f>SUMIFS('Aug-24 CREDIT MIS'!T:T,'Aug-24 CREDIT MIS'!C:C,"08-08-2024",'Aug-24 CREDIT MIS'!E:E,'Aug Dashboard.'!B67,'Aug-24 CREDIT MIS'!I:I,'Aug Dashboard.'!A67,'Aug-24 CREDIT MIS'!N:N,"Mohan Shankar Sharma")/100000</f>
        <v>0</v>
      </c>
      <c r="E67" s="72">
        <f>COUNTIFS('Aug-24 CREDIT MIS'!U:U,"08-08-2024",'Aug-24 CREDIT MIS'!E:E,'Aug Dashboard.'!B67,'Aug-24 CREDIT MIS'!I:I,'Aug Dashboard.'!A67,'Aug-24 CREDIT MIS'!N:N,"Mohan Shankar Sharma",'Aug-24 CREDIT MIS'!S:S,"Sanction")</f>
        <v>0</v>
      </c>
      <c r="F67" s="72">
        <f>SUMIFS('Aug-24 CREDIT MIS'!V:V,'Aug-24 CREDIT MIS'!U:U,"08-08-2024",'Aug-24 CREDIT MIS'!E:E,'Aug Dashboard.'!B67,'Aug-24 CREDIT MIS'!I:I,'Aug Dashboard.'!A67,'Aug-24 CREDIT MIS'!N:N,"Mohan Shankar Sharma",'Aug-24 CREDIT MIS'!S:S,"Sanction")/100000</f>
        <v>0</v>
      </c>
      <c r="G67" s="72">
        <f>COUNTIFS('Aug-24 CREDIT MIS'!U:U,"08-08-2024",'Aug-24 CREDIT MIS'!E:E,'Aug Dashboard.'!B67,'Aug-24 CREDIT MIS'!I:I,'Aug Dashboard.'!A67,'Aug-24 CREDIT MIS'!N:N,"Mohan Shankar Sharma",'Aug-24 CREDIT MIS'!S:S,"Reject")</f>
        <v>0</v>
      </c>
      <c r="H67" s="72">
        <f>SUMIFS('Aug-24 CREDIT MIS'!T:T,'Aug-24 CREDIT MIS'!U:U,"08-08-2024",'Aug-24 CREDIT MIS'!E:E,'Aug Dashboard.'!B67,'Aug-24 CREDIT MIS'!I:I,'Aug Dashboard.'!A67,'Aug-24 CREDIT MIS'!N:N,"Mohan Shankar Sharma",'Aug-24 CREDIT MIS'!S:S,"Reject")/100000</f>
        <v>0</v>
      </c>
      <c r="I67" s="72">
        <f t="shared" si="20"/>
        <v>0</v>
      </c>
      <c r="J67" s="72">
        <f t="shared" si="21"/>
        <v>0</v>
      </c>
      <c r="K67" s="72">
        <f>COUNTIFS('Aug-24 CREDIT MIS'!AE:AE,"08-08-2024",'Aug-24 CREDIT MIS'!E:E,'Aug Dashboard.'!B67,'Aug-24 CREDIT MIS'!I:I,'Aug Dashboard.'!A67,'Aug-24 CREDIT MIS'!N:N,"Mohan Shankar Sharma",'Aug-24 CREDIT MIS'!S:S,"Disbursed")</f>
        <v>0</v>
      </c>
      <c r="L67" s="72">
        <f>SUMIFS('Aug-24 CREDIT MIS'!V:V,'Aug-24 CREDIT MIS'!AE:AE,"08-08-2024",'Aug-24 CREDIT MIS'!E:E,'Aug Dashboard.'!B67,'Aug-24 CREDIT MIS'!I:I,'Aug Dashboard.'!A67,'Aug-24 CREDIT MIS'!N:N,"Mohan Shankar Sharma",'Aug-24 CREDIT MIS'!S:S,"Disbursed")/100000</f>
        <v>0</v>
      </c>
      <c r="M67" s="69"/>
      <c r="N67" s="69"/>
      <c r="O67" s="128"/>
      <c r="P67" s="128"/>
    </row>
    <row r="68" spans="1:16" x14ac:dyDescent="0.25">
      <c r="A68" s="85" t="s">
        <v>166</v>
      </c>
      <c r="B68" s="84" t="s">
        <v>165</v>
      </c>
      <c r="C68" s="72">
        <f>COUNTIFS('Aug-24 CREDIT MIS'!C:C,"08-08-2024",'Aug-24 CREDIT MIS'!E:E,'Aug Dashboard.'!B68,'Aug-24 CREDIT MIS'!I:I,'Aug Dashboard.'!A68,'Aug-24 CREDIT MIS'!N:N,"Mohan Shankar Sharma")</f>
        <v>0</v>
      </c>
      <c r="D68" s="72">
        <f>SUMIFS('Aug-24 CREDIT MIS'!T:T,'Aug-24 CREDIT MIS'!C:C,"08-08-2024",'Aug-24 CREDIT MIS'!E:E,'Aug Dashboard.'!B68,'Aug-24 CREDIT MIS'!I:I,'Aug Dashboard.'!A68,'Aug-24 CREDIT MIS'!N:N,"Mohan Shankar Sharma")/100000</f>
        <v>0</v>
      </c>
      <c r="E68" s="72">
        <f>COUNTIFS('Aug-24 CREDIT MIS'!U:U,"08-08-2024",'Aug-24 CREDIT MIS'!E:E,'Aug Dashboard.'!B68,'Aug-24 CREDIT MIS'!I:I,'Aug Dashboard.'!A68,'Aug-24 CREDIT MIS'!N:N,"Mohan Shankar Sharma",'Aug-24 CREDIT MIS'!S:S,"Sanction")</f>
        <v>0</v>
      </c>
      <c r="F68" s="72">
        <f>SUMIFS('Aug-24 CREDIT MIS'!V:V,'Aug-24 CREDIT MIS'!U:U,"08-08-2024",'Aug-24 CREDIT MIS'!E:E,'Aug Dashboard.'!B68,'Aug-24 CREDIT MIS'!I:I,'Aug Dashboard.'!A68,'Aug-24 CREDIT MIS'!N:N,"Mohan Shankar Sharma",'Aug-24 CREDIT MIS'!S:S,"Sanction")/100000</f>
        <v>0</v>
      </c>
      <c r="G68" s="72">
        <f>COUNTIFS('Aug-24 CREDIT MIS'!U:U,"08-08-2024",'Aug-24 CREDIT MIS'!E:E,'Aug Dashboard.'!B68,'Aug-24 CREDIT MIS'!I:I,'Aug Dashboard.'!A68,'Aug-24 CREDIT MIS'!N:N,"Mohan Shankar Sharma",'Aug-24 CREDIT MIS'!S:S,"Reject")</f>
        <v>0</v>
      </c>
      <c r="H68" s="72">
        <f>SUMIFS('Aug-24 CREDIT MIS'!T:T,'Aug-24 CREDIT MIS'!U:U,"08-08-2024",'Aug-24 CREDIT MIS'!E:E,'Aug Dashboard.'!B68,'Aug-24 CREDIT MIS'!I:I,'Aug Dashboard.'!A68,'Aug-24 CREDIT MIS'!N:N,"Mohan Shankar Sharma",'Aug-24 CREDIT MIS'!S:S,"Reject")/100000</f>
        <v>0</v>
      </c>
      <c r="I68" s="72">
        <f t="shared" si="20"/>
        <v>0</v>
      </c>
      <c r="J68" s="72">
        <f t="shared" si="21"/>
        <v>0</v>
      </c>
      <c r="K68" s="72">
        <f>COUNTIFS('Aug-24 CREDIT MIS'!AE:AE,"08-08-2024",'Aug-24 CREDIT MIS'!E:E,'Aug Dashboard.'!B68,'Aug-24 CREDIT MIS'!I:I,'Aug Dashboard.'!A68,'Aug-24 CREDIT MIS'!N:N,"Mohan Shankar Sharma",'Aug-24 CREDIT MIS'!S:S,"Disbursed")</f>
        <v>0</v>
      </c>
      <c r="L68" s="72">
        <f>SUMIFS('Aug-24 CREDIT MIS'!V:V,'Aug-24 CREDIT MIS'!AE:AE,"08-08-2024",'Aug-24 CREDIT MIS'!E:E,'Aug Dashboard.'!B68,'Aug-24 CREDIT MIS'!I:I,'Aug Dashboard.'!A68,'Aug-24 CREDIT MIS'!N:N,"Mohan Shankar Sharma",'Aug-24 CREDIT MIS'!S:S,"Disbursed")/100000</f>
        <v>0</v>
      </c>
      <c r="M68" s="69"/>
      <c r="N68" s="69"/>
      <c r="O68" s="128"/>
      <c r="P68" s="128"/>
    </row>
    <row r="69" spans="1:16" x14ac:dyDescent="0.25">
      <c r="A69" s="77" t="s">
        <v>168</v>
      </c>
      <c r="B69" s="77" t="s">
        <v>63</v>
      </c>
      <c r="C69" s="72">
        <f>COUNTIFS('Aug-24 CREDIT MIS'!C:C,"08-08-2024",'Aug-24 CREDIT MIS'!E:E,'Aug Dashboard.'!B69,'Aug-24 CREDIT MIS'!I:I,'Aug Dashboard.'!A69,'Aug-24 CREDIT MIS'!N:N,"Mohan Shankar Sharma")</f>
        <v>0</v>
      </c>
      <c r="D69" s="72">
        <f>SUMIFS('Aug-24 CREDIT MIS'!T:T,'Aug-24 CREDIT MIS'!C:C,"08-08-2024",'Aug-24 CREDIT MIS'!E:E,'Aug Dashboard.'!B69,'Aug-24 CREDIT MIS'!I:I,'Aug Dashboard.'!A69,'Aug-24 CREDIT MIS'!N:N,"Mohan Shankar Sharma")/100000</f>
        <v>0</v>
      </c>
      <c r="E69" s="72">
        <f>COUNTIFS('Aug-24 CREDIT MIS'!U:U,"08-08-2024",'Aug-24 CREDIT MIS'!E:E,'Aug Dashboard.'!B69,'Aug-24 CREDIT MIS'!I:I,'Aug Dashboard.'!A69,'Aug-24 CREDIT MIS'!N:N,"Mohan Shankar Sharma",'Aug-24 CREDIT MIS'!S:S,"Sanction")</f>
        <v>0</v>
      </c>
      <c r="F69" s="72">
        <f>SUMIFS('Aug-24 CREDIT MIS'!V:V,'Aug-24 CREDIT MIS'!U:U,"08-08-2024",'Aug-24 CREDIT MIS'!E:E,'Aug Dashboard.'!B69,'Aug-24 CREDIT MIS'!I:I,'Aug Dashboard.'!A69,'Aug-24 CREDIT MIS'!N:N,"Mohan Shankar Sharma",'Aug-24 CREDIT MIS'!S:S,"Sanction")/100000</f>
        <v>0</v>
      </c>
      <c r="G69" s="72">
        <f>COUNTIFS('Aug-24 CREDIT MIS'!U:U,"08-08-2024",'Aug-24 CREDIT MIS'!E:E,'Aug Dashboard.'!B69,'Aug-24 CREDIT MIS'!I:I,'Aug Dashboard.'!A69,'Aug-24 CREDIT MIS'!N:N,"Mohan Shankar Sharma",'Aug-24 CREDIT MIS'!S:S,"Reject")</f>
        <v>0</v>
      </c>
      <c r="H69" s="72">
        <f>SUMIFS('Aug-24 CREDIT MIS'!T:T,'Aug-24 CREDIT MIS'!U:U,"08-08-2024",'Aug-24 CREDIT MIS'!E:E,'Aug Dashboard.'!B69,'Aug-24 CREDIT MIS'!I:I,'Aug Dashboard.'!A69,'Aug-24 CREDIT MIS'!N:N,"Mohan Shankar Sharma",'Aug-24 CREDIT MIS'!S:S,"Reject")/100000</f>
        <v>0</v>
      </c>
      <c r="I69" s="72">
        <f t="shared" si="20"/>
        <v>0</v>
      </c>
      <c r="J69" s="72">
        <f t="shared" si="21"/>
        <v>0</v>
      </c>
      <c r="K69" s="72">
        <f>COUNTIFS('Aug-24 CREDIT MIS'!AE:AE,"08-08-2024",'Aug-24 CREDIT MIS'!E:E,'Aug Dashboard.'!B69,'Aug-24 CREDIT MIS'!I:I,'Aug Dashboard.'!A69,'Aug-24 CREDIT MIS'!N:N,"Mohan Shankar Sharma",'Aug-24 CREDIT MIS'!S:S,"Disbursed")</f>
        <v>0</v>
      </c>
      <c r="L69" s="72">
        <f>SUMIFS('Aug-24 CREDIT MIS'!V:V,'Aug-24 CREDIT MIS'!AE:AE,"08-08-2024",'Aug-24 CREDIT MIS'!E:E,'Aug Dashboard.'!B69,'Aug-24 CREDIT MIS'!I:I,'Aug Dashboard.'!A69,'Aug-24 CREDIT MIS'!N:N,"Mohan Shankar Sharma",'Aug-24 CREDIT MIS'!S:S,"Disbursed")/100000</f>
        <v>0</v>
      </c>
      <c r="M69" s="69"/>
      <c r="N69" s="69"/>
      <c r="O69" s="128"/>
      <c r="P69" s="128"/>
    </row>
    <row r="70" spans="1:16" x14ac:dyDescent="0.25">
      <c r="A70" s="74" t="s">
        <v>167</v>
      </c>
      <c r="B70" s="77" t="s">
        <v>9</v>
      </c>
      <c r="C70" s="72">
        <f>COUNTIFS('Aug-24 CREDIT MIS'!C:C,"08-08-2024",'Aug-24 CREDIT MIS'!E:E,'Aug Dashboard.'!B70,'Aug-24 CREDIT MIS'!I:I,'Aug Dashboard.'!A70,'Aug-24 CREDIT MIS'!N:N,"Mohan Shankar Sharma")</f>
        <v>1</v>
      </c>
      <c r="D70" s="72">
        <f>SUMIFS('Aug-24 CREDIT MIS'!T:T,'Aug-24 CREDIT MIS'!C:C,"08-08-2024",'Aug-24 CREDIT MIS'!E:E,'Aug Dashboard.'!B70,'Aug-24 CREDIT MIS'!I:I,'Aug Dashboard.'!A70,'Aug-24 CREDIT MIS'!N:N,"Mohan Shankar Sharma")/100000</f>
        <v>4</v>
      </c>
      <c r="E70" s="72">
        <f>COUNTIFS('Aug-24 CREDIT MIS'!U:U,"08-08-2024",'Aug-24 CREDIT MIS'!E:E,'Aug Dashboard.'!B70,'Aug-24 CREDIT MIS'!I:I,'Aug Dashboard.'!A70,'Aug-24 CREDIT MIS'!N:N,"Mohan Shankar Sharma",'Aug-24 CREDIT MIS'!S:S,"Sanction")</f>
        <v>0</v>
      </c>
      <c r="F70" s="72">
        <f>SUMIFS('Aug-24 CREDIT MIS'!V:V,'Aug-24 CREDIT MIS'!U:U,"08-08-2024",'Aug-24 CREDIT MIS'!E:E,'Aug Dashboard.'!B70,'Aug-24 CREDIT MIS'!I:I,'Aug Dashboard.'!A70,'Aug-24 CREDIT MIS'!N:N,"Mohan Shankar Sharma",'Aug-24 CREDIT MIS'!S:S,"Sanction")/100000</f>
        <v>0</v>
      </c>
      <c r="G70" s="72">
        <f>COUNTIFS('Aug-24 CREDIT MIS'!U:U,"08-08-2024",'Aug-24 CREDIT MIS'!E:E,'Aug Dashboard.'!B70,'Aug-24 CREDIT MIS'!I:I,'Aug Dashboard.'!A70,'Aug-24 CREDIT MIS'!N:N,"Mohan Shankar Sharma",'Aug-24 CREDIT MIS'!S:S,"Reject")</f>
        <v>0</v>
      </c>
      <c r="H70" s="72">
        <f>SUMIFS('Aug-24 CREDIT MIS'!T:T,'Aug-24 CREDIT MIS'!U:U,"08-08-2024",'Aug-24 CREDIT MIS'!E:E,'Aug Dashboard.'!B70,'Aug-24 CREDIT MIS'!I:I,'Aug Dashboard.'!A70,'Aug-24 CREDIT MIS'!N:N,"Mohan Shankar Sharma",'Aug-24 CREDIT MIS'!S:S,"Reject")/100000</f>
        <v>0</v>
      </c>
      <c r="I70" s="72">
        <f t="shared" si="20"/>
        <v>0</v>
      </c>
      <c r="J70" s="72">
        <f t="shared" si="21"/>
        <v>0</v>
      </c>
      <c r="K70" s="72">
        <f>COUNTIFS('Aug-24 CREDIT MIS'!AE:AE,"08-08-2024",'Aug-24 CREDIT MIS'!E:E,'Aug Dashboard.'!B70,'Aug-24 CREDIT MIS'!I:I,'Aug Dashboard.'!A70,'Aug-24 CREDIT MIS'!N:N,"Mohan Shankar Sharma",'Aug-24 CREDIT MIS'!S:S,"Disbursed")</f>
        <v>0</v>
      </c>
      <c r="L70" s="72">
        <f>SUMIFS('Aug-24 CREDIT MIS'!V:V,'Aug-24 CREDIT MIS'!AE:AE,"08-08-2024",'Aug-24 CREDIT MIS'!E:E,'Aug Dashboard.'!B70,'Aug-24 CREDIT MIS'!I:I,'Aug Dashboard.'!A70,'Aug-24 CREDIT MIS'!N:N,"Mohan Shankar Sharma",'Aug-24 CREDIT MIS'!S:S,"Disbursed")/100000</f>
        <v>0</v>
      </c>
      <c r="M70" s="69"/>
      <c r="N70" s="69"/>
      <c r="O70" s="128"/>
      <c r="P70" s="128"/>
    </row>
    <row r="71" spans="1:16" x14ac:dyDescent="0.25">
      <c r="A71" s="171" t="s">
        <v>78</v>
      </c>
      <c r="B71" s="172"/>
      <c r="C71" s="83">
        <f t="shared" ref="C71:L71" si="22">SUM(C65:C70)</f>
        <v>2</v>
      </c>
      <c r="D71" s="83">
        <f t="shared" si="22"/>
        <v>8</v>
      </c>
      <c r="E71" s="83">
        <f t="shared" si="22"/>
        <v>0</v>
      </c>
      <c r="F71" s="83">
        <f t="shared" si="22"/>
        <v>0</v>
      </c>
      <c r="G71" s="83">
        <f t="shared" si="22"/>
        <v>0</v>
      </c>
      <c r="H71" s="83">
        <f t="shared" si="22"/>
        <v>0</v>
      </c>
      <c r="I71" s="83">
        <f t="shared" si="22"/>
        <v>0</v>
      </c>
      <c r="J71" s="83">
        <f t="shared" si="22"/>
        <v>0</v>
      </c>
      <c r="K71" s="83">
        <f t="shared" si="22"/>
        <v>0</v>
      </c>
      <c r="L71" s="83">
        <f t="shared" si="22"/>
        <v>0</v>
      </c>
      <c r="M71" s="69"/>
      <c r="N71" s="69"/>
      <c r="O71" s="128"/>
      <c r="P71" s="128"/>
    </row>
    <row r="72" spans="1:16" ht="16.5" customHeight="1" x14ac:dyDescent="0.25">
      <c r="A72" s="168" t="s">
        <v>164</v>
      </c>
      <c r="B72" s="169"/>
      <c r="C72" s="82">
        <f>SUM(C64,C41,C34,C17,C71)</f>
        <v>14</v>
      </c>
      <c r="D72" s="82">
        <f t="shared" ref="D72:L72" si="23">SUM(D64,D41,D34,D17,D71)</f>
        <v>87.7</v>
      </c>
      <c r="E72" s="82">
        <f t="shared" si="23"/>
        <v>0</v>
      </c>
      <c r="F72" s="82">
        <f t="shared" si="23"/>
        <v>0</v>
      </c>
      <c r="G72" s="82">
        <f t="shared" si="23"/>
        <v>5</v>
      </c>
      <c r="H72" s="82">
        <f t="shared" si="23"/>
        <v>32.99</v>
      </c>
      <c r="I72" s="82">
        <f t="shared" si="23"/>
        <v>5</v>
      </c>
      <c r="J72" s="82">
        <f t="shared" si="23"/>
        <v>32.99</v>
      </c>
      <c r="K72" s="82">
        <f t="shared" si="23"/>
        <v>0</v>
      </c>
      <c r="L72" s="82">
        <f t="shared" si="23"/>
        <v>0</v>
      </c>
      <c r="M72" s="69"/>
      <c r="N72" s="69"/>
      <c r="O72" s="128"/>
      <c r="P72" s="128"/>
    </row>
    <row r="73" spans="1:16" x14ac:dyDescent="0.25">
      <c r="A73" s="81" t="s">
        <v>161</v>
      </c>
      <c r="B73" s="73" t="s">
        <v>23</v>
      </c>
      <c r="C73" s="72">
        <f>COUNTIFS('Aug-24 CREDIT MIS'!C:C,"08-08-2024",'Aug-24 CREDIT MIS'!E:E,'Aug Dashboard.'!B73,'Aug-24 CREDIT MIS'!I:I,'Aug Dashboard.'!A73,'Aug-24 CREDIT MIS'!N:N,"Manoj Chauhan")</f>
        <v>1</v>
      </c>
      <c r="D73" s="72">
        <f>SUMIFS('Aug-24 CREDIT MIS'!T:T,'Aug-24 CREDIT MIS'!C:C,"08-08-2024",'Aug-24 CREDIT MIS'!E:E,'Aug Dashboard.'!B73,'Aug-24 CREDIT MIS'!I:I,'Aug Dashboard.'!A73,'Aug-24 CREDIT MIS'!N:N,"Manoj Chauhan")/100000</f>
        <v>8</v>
      </c>
      <c r="E73" s="72">
        <f>COUNTIFS('Aug-24 CREDIT MIS'!U:U,"08-08-2024",'Aug-24 CREDIT MIS'!E:E,'Aug Dashboard.'!B73,'Aug-24 CREDIT MIS'!I:I,'Aug Dashboard.'!A73,'Aug-24 CREDIT MIS'!N:N,"Manoj Chauhan",'Aug-24 CREDIT MIS'!S:S,"Sanction")</f>
        <v>0</v>
      </c>
      <c r="F73" s="72">
        <f>SUMIFS('Aug-24 CREDIT MIS'!V:V,'Aug-24 CREDIT MIS'!U:U,"08-08-2024",'Aug-24 CREDIT MIS'!E:E,'Aug Dashboard.'!B73,'Aug-24 CREDIT MIS'!I:I,'Aug Dashboard.'!A73,'Aug-24 CREDIT MIS'!N:N,"Manoj Chauhan",'Aug-24 CREDIT MIS'!S:S,"Sanction")/100000</f>
        <v>0</v>
      </c>
      <c r="G73" s="72">
        <f>COUNTIFS('Aug-24 CREDIT MIS'!U:U,"08-08-2024",'Aug-24 CREDIT MIS'!E:E,'Aug Dashboard.'!B73,'Aug-24 CREDIT MIS'!I:I,'Aug Dashboard.'!A73,'Aug-24 CREDIT MIS'!N:N,"Manoj Chauhan",'Aug-24 CREDIT MIS'!S:S,"Reject")</f>
        <v>0</v>
      </c>
      <c r="H73" s="72">
        <f>SUMIFS('Aug-24 CREDIT MIS'!T:T,'Aug-24 CREDIT MIS'!U:U,"08-08-2024",'Aug-24 CREDIT MIS'!E:E,'Aug Dashboard.'!B73,'Aug-24 CREDIT MIS'!I:I,'Aug Dashboard.'!A73,'Aug-24 CREDIT MIS'!N:N,"Manoj Chauhan",'Aug-24 CREDIT MIS'!S:S,"Reject")/100000</f>
        <v>0</v>
      </c>
      <c r="I73" s="72">
        <f t="shared" ref="I73:I87" si="24">E73+G73</f>
        <v>0</v>
      </c>
      <c r="J73" s="72">
        <f t="shared" ref="J73:J87" si="25">H73+F73</f>
        <v>0</v>
      </c>
      <c r="K73" s="72">
        <f>COUNTIFS('Aug-24 CREDIT MIS'!AE:AE,"08-08-2024",'Aug-24 CREDIT MIS'!E:E,'Aug Dashboard.'!B73,'Aug-24 CREDIT MIS'!I:I,'Aug Dashboard.'!A73,'Aug-24 CREDIT MIS'!N:N,"Manoj Chauhan",'Aug-24 CREDIT MIS'!S:S,"Disbursed")</f>
        <v>0</v>
      </c>
      <c r="L73" s="72">
        <f>SUMIFS('Aug-24 CREDIT MIS'!V:V,'Aug-24 CREDIT MIS'!AE:AE,"08-08-2024",'Aug-24 CREDIT MIS'!E:E,'Aug Dashboard.'!B73,'Aug-24 CREDIT MIS'!I:I,'Aug Dashboard.'!A73,'Aug-24 CREDIT MIS'!N:N,"Manoj Chauhan",'Aug-24 CREDIT MIS'!S:S,"Disbursed")/100000</f>
        <v>0</v>
      </c>
      <c r="M73" s="69"/>
      <c r="N73" s="69"/>
      <c r="O73" s="128"/>
      <c r="P73" s="128"/>
    </row>
    <row r="74" spans="1:16" x14ac:dyDescent="0.25">
      <c r="A74" s="80" t="s">
        <v>162</v>
      </c>
      <c r="B74" s="80" t="s">
        <v>29</v>
      </c>
      <c r="C74" s="72">
        <f>COUNTIFS('Aug-24 CREDIT MIS'!C:C,"08-08-2024",'Aug-24 CREDIT MIS'!E:E,'Aug Dashboard.'!B74,'Aug-24 CREDIT MIS'!I:I,'Aug Dashboard.'!A74,'Aug-24 CREDIT MIS'!N:N,"Manoj Chauhan")</f>
        <v>0</v>
      </c>
      <c r="D74" s="72">
        <f>SUMIFS('Aug-24 CREDIT MIS'!T:T,'Aug-24 CREDIT MIS'!C:C,"08-08-2024",'Aug-24 CREDIT MIS'!E:E,'Aug Dashboard.'!B74,'Aug-24 CREDIT MIS'!I:I,'Aug Dashboard.'!A74,'Aug-24 CREDIT MIS'!N:N,"Manoj Chauhan")/100000</f>
        <v>0</v>
      </c>
      <c r="E74" s="72">
        <f>COUNTIFS('Aug-24 CREDIT MIS'!U:U,"08-08-2024",'Aug-24 CREDIT MIS'!E:E,'Aug Dashboard.'!B74,'Aug-24 CREDIT MIS'!I:I,'Aug Dashboard.'!A74,'Aug-24 CREDIT MIS'!N:N,"Manoj Chauhan",'Aug-24 CREDIT MIS'!S:S,"Sanction")</f>
        <v>0</v>
      </c>
      <c r="F74" s="72">
        <f>SUMIFS('Aug-24 CREDIT MIS'!V:V,'Aug-24 CREDIT MIS'!U:U,"08-08-2024",'Aug-24 CREDIT MIS'!E:E,'Aug Dashboard.'!B74,'Aug-24 CREDIT MIS'!I:I,'Aug Dashboard.'!A74,'Aug-24 CREDIT MIS'!N:N,"Manoj Chauhan",'Aug-24 CREDIT MIS'!S:S,"Sanction")/100000</f>
        <v>0</v>
      </c>
      <c r="G74" s="72">
        <f>COUNTIFS('Aug-24 CREDIT MIS'!U:U,"08-08-2024",'Aug-24 CREDIT MIS'!E:E,'Aug Dashboard.'!B74,'Aug-24 CREDIT MIS'!I:I,'Aug Dashboard.'!A74,'Aug-24 CREDIT MIS'!N:N,"Manoj Chauhan",'Aug-24 CREDIT MIS'!S:S,"Reject")</f>
        <v>0</v>
      </c>
      <c r="H74" s="72">
        <f>SUMIFS('Aug-24 CREDIT MIS'!T:T,'Aug-24 CREDIT MIS'!U:U,"08-08-2024",'Aug-24 CREDIT MIS'!E:E,'Aug Dashboard.'!B74,'Aug-24 CREDIT MIS'!I:I,'Aug Dashboard.'!A74,'Aug-24 CREDIT MIS'!N:N,"Manoj Chauhan",'Aug-24 CREDIT MIS'!S:S,"Reject")/100000</f>
        <v>0</v>
      </c>
      <c r="I74" s="72">
        <f t="shared" si="24"/>
        <v>0</v>
      </c>
      <c r="J74" s="72">
        <f t="shared" si="25"/>
        <v>0</v>
      </c>
      <c r="K74" s="72">
        <f>COUNTIFS('Aug-24 CREDIT MIS'!AE:AE,"08-08-2024",'Aug-24 CREDIT MIS'!E:E,'Aug Dashboard.'!B74,'Aug-24 CREDIT MIS'!I:I,'Aug Dashboard.'!A74,'Aug-24 CREDIT MIS'!N:N,"Manoj Chauhan",'Aug-24 CREDIT MIS'!S:S,"Disbursed")</f>
        <v>0</v>
      </c>
      <c r="L74" s="72">
        <f>SUMIFS('Aug-24 CREDIT MIS'!V:V,'Aug-24 CREDIT MIS'!AE:AE,"08-08-2024",'Aug-24 CREDIT MIS'!E:E,'Aug Dashboard.'!B74,'Aug-24 CREDIT MIS'!I:I,'Aug Dashboard.'!A74,'Aug-24 CREDIT MIS'!N:N,"Manoj Chauhan",'Aug-24 CREDIT MIS'!S:S,"Disbursed")/100000</f>
        <v>0</v>
      </c>
      <c r="M74" s="69"/>
      <c r="N74" s="69"/>
      <c r="O74" s="129"/>
      <c r="P74" s="129"/>
    </row>
    <row r="75" spans="1:16" x14ac:dyDescent="0.25">
      <c r="A75" s="77" t="s">
        <v>160</v>
      </c>
      <c r="B75" s="80" t="s">
        <v>14</v>
      </c>
      <c r="C75" s="72">
        <f>COUNTIFS('Aug-24 CREDIT MIS'!C:C,"08-08-2024",'Aug-24 CREDIT MIS'!E:E,'Aug Dashboard.'!B75,'Aug-24 CREDIT MIS'!I:I,'Aug Dashboard.'!A75,'Aug-24 CREDIT MIS'!N:N,"Manoj Chauhan")</f>
        <v>0</v>
      </c>
      <c r="D75" s="72">
        <f>SUMIFS('Aug-24 CREDIT MIS'!T:T,'Aug-24 CREDIT MIS'!C:C,"08-08-2024",'Aug-24 CREDIT MIS'!E:E,'Aug Dashboard.'!B75,'Aug-24 CREDIT MIS'!I:I,'Aug Dashboard.'!A75,'Aug-24 CREDIT MIS'!N:N,"Manoj Chauhan")/100000</f>
        <v>0</v>
      </c>
      <c r="E75" s="72">
        <f>COUNTIFS('Aug-24 CREDIT MIS'!U:U,"08-08-2024",'Aug-24 CREDIT MIS'!E:E,'Aug Dashboard.'!B75,'Aug-24 CREDIT MIS'!I:I,'Aug Dashboard.'!A75,'Aug-24 CREDIT MIS'!N:N,"Manoj Chauhan",'Aug-24 CREDIT MIS'!S:S,"Sanction")</f>
        <v>0</v>
      </c>
      <c r="F75" s="72">
        <f>SUMIFS('Aug-24 CREDIT MIS'!V:V,'Aug-24 CREDIT MIS'!U:U,"08-08-2024",'Aug-24 CREDIT MIS'!E:E,'Aug Dashboard.'!B75,'Aug-24 CREDIT MIS'!I:I,'Aug Dashboard.'!A75,'Aug-24 CREDIT MIS'!N:N,"Manoj Chauhan",'Aug-24 CREDIT MIS'!S:S,"Sanction")/100000</f>
        <v>0</v>
      </c>
      <c r="G75" s="72">
        <f>COUNTIFS('Aug-24 CREDIT MIS'!U:U,"08-08-2024",'Aug-24 CREDIT MIS'!E:E,'Aug Dashboard.'!B75,'Aug-24 CREDIT MIS'!I:I,'Aug Dashboard.'!A75,'Aug-24 CREDIT MIS'!N:N,"Manoj Chauhan",'Aug-24 CREDIT MIS'!S:S,"Reject")</f>
        <v>0</v>
      </c>
      <c r="H75" s="72">
        <f>SUMIFS('Aug-24 CREDIT MIS'!T:T,'Aug-24 CREDIT MIS'!U:U,"08-08-2024",'Aug-24 CREDIT MIS'!E:E,'Aug Dashboard.'!B75,'Aug-24 CREDIT MIS'!I:I,'Aug Dashboard.'!A75,'Aug-24 CREDIT MIS'!N:N,"Manoj Chauhan",'Aug-24 CREDIT MIS'!S:S,"Reject")/100000</f>
        <v>0</v>
      </c>
      <c r="I75" s="72">
        <f t="shared" si="24"/>
        <v>0</v>
      </c>
      <c r="J75" s="72">
        <f t="shared" si="25"/>
        <v>0</v>
      </c>
      <c r="K75" s="72">
        <f>COUNTIFS('Aug-24 CREDIT MIS'!AE:AE,"08-08-2024",'Aug-24 CREDIT MIS'!E:E,'Aug Dashboard.'!B75,'Aug-24 CREDIT MIS'!I:I,'Aug Dashboard.'!A75,'Aug-24 CREDIT MIS'!N:N,"Manoj Chauhan",'Aug-24 CREDIT MIS'!S:S,"Disbursed")</f>
        <v>0</v>
      </c>
      <c r="L75" s="72">
        <f>SUMIFS('Aug-24 CREDIT MIS'!V:V,'Aug-24 CREDIT MIS'!AE:AE,"08-08-2024",'Aug-24 CREDIT MIS'!E:E,'Aug Dashboard.'!B75,'Aug-24 CREDIT MIS'!I:I,'Aug Dashboard.'!A75,'Aug-24 CREDIT MIS'!N:N,"Manoj Chauhan",'Aug-24 CREDIT MIS'!S:S,"Disbursed")/100000</f>
        <v>0</v>
      </c>
      <c r="M75" s="69"/>
      <c r="N75" s="69"/>
      <c r="O75" s="129"/>
      <c r="P75" s="129"/>
    </row>
    <row r="76" spans="1:16" x14ac:dyDescent="0.25">
      <c r="A76" s="77" t="s">
        <v>160</v>
      </c>
      <c r="B76" s="73" t="s">
        <v>10</v>
      </c>
      <c r="C76" s="72">
        <f>COUNTIFS('Aug-24 CREDIT MIS'!C:C,"08-08-2024",'Aug-24 CREDIT MIS'!E:E,'Aug Dashboard.'!B76,'Aug-24 CREDIT MIS'!I:I,'Aug Dashboard.'!A76,'Aug-24 CREDIT MIS'!N:N,"Manoj Chauhan")</f>
        <v>1</v>
      </c>
      <c r="D76" s="72">
        <f>SUMIFS('Aug-24 CREDIT MIS'!T:T,'Aug-24 CREDIT MIS'!C:C,"08-08-2024",'Aug-24 CREDIT MIS'!E:E,'Aug Dashboard.'!B76,'Aug-24 CREDIT MIS'!I:I,'Aug Dashboard.'!A76,'Aug-24 CREDIT MIS'!N:N,"Manoj Chauhan")/100000</f>
        <v>9.9</v>
      </c>
      <c r="E76" s="72">
        <f>COUNTIFS('Aug-24 CREDIT MIS'!U:U,"08-08-2024",'Aug-24 CREDIT MIS'!E:E,'Aug Dashboard.'!B76,'Aug-24 CREDIT MIS'!I:I,'Aug Dashboard.'!A76,'Aug-24 CREDIT MIS'!N:N,"Manoj Chauhan",'Aug-24 CREDIT MIS'!S:S,"Sanction")</f>
        <v>0</v>
      </c>
      <c r="F76" s="72">
        <f>SUMIFS('Aug-24 CREDIT MIS'!V:V,'Aug-24 CREDIT MIS'!U:U,"08-08-2024",'Aug-24 CREDIT MIS'!E:E,'Aug Dashboard.'!B76,'Aug-24 CREDIT MIS'!I:I,'Aug Dashboard.'!A76,'Aug-24 CREDIT MIS'!N:N,"Manoj Chauhan",'Aug-24 CREDIT MIS'!S:S,"Sanction")/100000</f>
        <v>0</v>
      </c>
      <c r="G76" s="72">
        <f>COUNTIFS('Aug-24 CREDIT MIS'!U:U,"08-08-2024",'Aug-24 CREDIT MIS'!E:E,'Aug Dashboard.'!B76,'Aug-24 CREDIT MIS'!I:I,'Aug Dashboard.'!A76,'Aug-24 CREDIT MIS'!N:N,"Manoj Chauhan",'Aug-24 CREDIT MIS'!S:S,"Reject")</f>
        <v>0</v>
      </c>
      <c r="H76" s="72">
        <f>SUMIFS('Aug-24 CREDIT MIS'!T:T,'Aug-24 CREDIT MIS'!U:U,"08-08-2024",'Aug-24 CREDIT MIS'!E:E,'Aug Dashboard.'!B76,'Aug-24 CREDIT MIS'!I:I,'Aug Dashboard.'!A76,'Aug-24 CREDIT MIS'!N:N,"Manoj Chauhan",'Aug-24 CREDIT MIS'!S:S,"Reject")/100000</f>
        <v>0</v>
      </c>
      <c r="I76" s="72">
        <f t="shared" si="24"/>
        <v>0</v>
      </c>
      <c r="J76" s="72">
        <f t="shared" si="25"/>
        <v>0</v>
      </c>
      <c r="K76" s="72">
        <f>COUNTIFS('Aug-24 CREDIT MIS'!AE:AE,"08-08-2024",'Aug-24 CREDIT MIS'!E:E,'Aug Dashboard.'!B76,'Aug-24 CREDIT MIS'!I:I,'Aug Dashboard.'!A76,'Aug-24 CREDIT MIS'!N:N,"Manoj Chauhan",'Aug-24 CREDIT MIS'!S:S,"Disbursed")</f>
        <v>0</v>
      </c>
      <c r="L76" s="72">
        <f>SUMIFS('Aug-24 CREDIT MIS'!V:V,'Aug-24 CREDIT MIS'!AE:AE,"08-08-2024",'Aug-24 CREDIT MIS'!E:E,'Aug Dashboard.'!B76,'Aug-24 CREDIT MIS'!I:I,'Aug Dashboard.'!A76,'Aug-24 CREDIT MIS'!N:N,"Manoj Chauhan",'Aug-24 CREDIT MIS'!S:S,"Disbursed")/100000</f>
        <v>0</v>
      </c>
      <c r="M76" s="69"/>
      <c r="N76" s="69"/>
      <c r="O76" s="69"/>
      <c r="P76" s="69"/>
    </row>
    <row r="77" spans="1:16" x14ac:dyDescent="0.25">
      <c r="A77" s="74" t="s">
        <v>158</v>
      </c>
      <c r="B77" s="74" t="s">
        <v>83</v>
      </c>
      <c r="C77" s="72">
        <f>COUNTIFS('Aug-24 CREDIT MIS'!C:C,"08-08-2024",'Aug-24 CREDIT MIS'!E:E,'Aug Dashboard.'!B77,'Aug-24 CREDIT MIS'!I:I,'Aug Dashboard.'!A77,'Aug-24 CREDIT MIS'!N:N,"Manoj Chauhan")</f>
        <v>0</v>
      </c>
      <c r="D77" s="72">
        <f>SUMIFS('Aug-24 CREDIT MIS'!T:T,'Aug-24 CREDIT MIS'!C:C,"08-08-2024",'Aug-24 CREDIT MIS'!E:E,'Aug Dashboard.'!B77,'Aug-24 CREDIT MIS'!I:I,'Aug Dashboard.'!A77,'Aug-24 CREDIT MIS'!N:N,"Manoj Chauhan")/100000</f>
        <v>0</v>
      </c>
      <c r="E77" s="72">
        <f>COUNTIFS('Aug-24 CREDIT MIS'!U:U,"08-08-2024",'Aug-24 CREDIT MIS'!E:E,'Aug Dashboard.'!B77,'Aug-24 CREDIT MIS'!I:I,'Aug Dashboard.'!A77,'Aug-24 CREDIT MIS'!N:N,"Manoj Chauhan",'Aug-24 CREDIT MIS'!S:S,"Sanction")</f>
        <v>0</v>
      </c>
      <c r="F77" s="72">
        <f>SUMIFS('Aug-24 CREDIT MIS'!V:V,'Aug-24 CREDIT MIS'!U:U,"08-08-2024",'Aug-24 CREDIT MIS'!E:E,'Aug Dashboard.'!B77,'Aug-24 CREDIT MIS'!I:I,'Aug Dashboard.'!A77,'Aug-24 CREDIT MIS'!N:N,"Manoj Chauhan",'Aug-24 CREDIT MIS'!S:S,"Sanction")/100000</f>
        <v>0</v>
      </c>
      <c r="G77" s="72">
        <f>COUNTIFS('Aug-24 CREDIT MIS'!U:U,"08-08-2024",'Aug-24 CREDIT MIS'!E:E,'Aug Dashboard.'!B77,'Aug-24 CREDIT MIS'!I:I,'Aug Dashboard.'!A77,'Aug-24 CREDIT MIS'!N:N,"Manoj Chauhan",'Aug-24 CREDIT MIS'!S:S,"Reject")</f>
        <v>0</v>
      </c>
      <c r="H77" s="72">
        <f>SUMIFS('Aug-24 CREDIT MIS'!T:T,'Aug-24 CREDIT MIS'!U:U,"08-08-2024",'Aug-24 CREDIT MIS'!E:E,'Aug Dashboard.'!B77,'Aug-24 CREDIT MIS'!I:I,'Aug Dashboard.'!A77,'Aug-24 CREDIT MIS'!N:N,"Manoj Chauhan",'Aug-24 CREDIT MIS'!S:S,"Reject")/100000</f>
        <v>0</v>
      </c>
      <c r="I77" s="72">
        <f t="shared" si="24"/>
        <v>0</v>
      </c>
      <c r="J77" s="72">
        <f t="shared" si="25"/>
        <v>0</v>
      </c>
      <c r="K77" s="72">
        <f>COUNTIFS('Aug-24 CREDIT MIS'!AE:AE,"08-08-2024",'Aug-24 CREDIT MIS'!E:E,'Aug Dashboard.'!B77,'Aug-24 CREDIT MIS'!I:I,'Aug Dashboard.'!A77,'Aug-24 CREDIT MIS'!N:N,"Manoj Chauhan",'Aug-24 CREDIT MIS'!S:S,"Disbursed")</f>
        <v>0</v>
      </c>
      <c r="L77" s="72">
        <f>SUMIFS('Aug-24 CREDIT MIS'!V:V,'Aug-24 CREDIT MIS'!AE:AE,"08-08-2024",'Aug-24 CREDIT MIS'!E:E,'Aug Dashboard.'!B77,'Aug-24 CREDIT MIS'!I:I,'Aug Dashboard.'!A77,'Aug-24 CREDIT MIS'!N:N,"Manoj Chauhan",'Aug-24 CREDIT MIS'!S:S,"Disbursed")/100000</f>
        <v>0</v>
      </c>
      <c r="M77" s="69"/>
      <c r="N77" s="69"/>
      <c r="O77" s="69"/>
      <c r="P77" s="69"/>
    </row>
    <row r="78" spans="1:16" x14ac:dyDescent="0.25">
      <c r="A78" s="77" t="s">
        <v>159</v>
      </c>
      <c r="B78" s="77" t="s">
        <v>17</v>
      </c>
      <c r="C78" s="72">
        <f>COUNTIFS('Aug-24 CREDIT MIS'!C:C,"08-08-2024",'Aug-24 CREDIT MIS'!E:E,'Aug Dashboard.'!B78,'Aug-24 CREDIT MIS'!I:I,'Aug Dashboard.'!A78,'Aug-24 CREDIT MIS'!N:N,"Manoj Chauhan")</f>
        <v>1</v>
      </c>
      <c r="D78" s="72">
        <f>SUMIFS('Aug-24 CREDIT MIS'!T:T,'Aug-24 CREDIT MIS'!C:C,"08-08-2024",'Aug-24 CREDIT MIS'!E:E,'Aug Dashboard.'!B78,'Aug-24 CREDIT MIS'!I:I,'Aug Dashboard.'!A78,'Aug-24 CREDIT MIS'!N:N,"Manoj Chauhan")/100000</f>
        <v>9</v>
      </c>
      <c r="E78" s="72">
        <f>COUNTIFS('Aug-24 CREDIT MIS'!U:U,"08-08-2024",'Aug-24 CREDIT MIS'!E:E,'Aug Dashboard.'!B78,'Aug-24 CREDIT MIS'!I:I,'Aug Dashboard.'!A78,'Aug-24 CREDIT MIS'!N:N,"Manoj Chauhan",'Aug-24 CREDIT MIS'!S:S,"Sanction")</f>
        <v>0</v>
      </c>
      <c r="F78" s="72">
        <f>SUMIFS('Aug-24 CREDIT MIS'!V:V,'Aug-24 CREDIT MIS'!U:U,"08-08-2024",'Aug-24 CREDIT MIS'!E:E,'Aug Dashboard.'!B78,'Aug-24 CREDIT MIS'!I:I,'Aug Dashboard.'!A78,'Aug-24 CREDIT MIS'!N:N,"Manoj Chauhan",'Aug-24 CREDIT MIS'!S:S,"Sanction")/100000</f>
        <v>0</v>
      </c>
      <c r="G78" s="72">
        <f>COUNTIFS('Aug-24 CREDIT MIS'!U:U,"08-08-2024",'Aug-24 CREDIT MIS'!E:E,'Aug Dashboard.'!B78,'Aug-24 CREDIT MIS'!I:I,'Aug Dashboard.'!A78,'Aug-24 CREDIT MIS'!N:N,"Manoj Chauhan",'Aug-24 CREDIT MIS'!S:S,"Reject")</f>
        <v>0</v>
      </c>
      <c r="H78" s="72">
        <f>SUMIFS('Aug-24 CREDIT MIS'!T:T,'Aug-24 CREDIT MIS'!U:U,"08-08-2024",'Aug-24 CREDIT MIS'!E:E,'Aug Dashboard.'!B78,'Aug-24 CREDIT MIS'!I:I,'Aug Dashboard.'!A78,'Aug-24 CREDIT MIS'!N:N,"Manoj Chauhan",'Aug-24 CREDIT MIS'!S:S,"Reject")/100000</f>
        <v>0</v>
      </c>
      <c r="I78" s="72">
        <f t="shared" si="24"/>
        <v>0</v>
      </c>
      <c r="J78" s="72">
        <f t="shared" si="25"/>
        <v>0</v>
      </c>
      <c r="K78" s="72">
        <f>COUNTIFS('Aug-24 CREDIT MIS'!AE:AE,"08-08-2024",'Aug-24 CREDIT MIS'!E:E,'Aug Dashboard.'!B78,'Aug-24 CREDIT MIS'!I:I,'Aug Dashboard.'!A78,'Aug-24 CREDIT MIS'!N:N,"Manoj Chauhan",'Aug-24 CREDIT MIS'!S:S,"Disbursed")</f>
        <v>0</v>
      </c>
      <c r="L78" s="72">
        <f>SUMIFS('Aug-24 CREDIT MIS'!V:V,'Aug-24 CREDIT MIS'!AE:AE,"08-08-2024",'Aug-24 CREDIT MIS'!E:E,'Aug Dashboard.'!B78,'Aug-24 CREDIT MIS'!I:I,'Aug Dashboard.'!A78,'Aug-24 CREDIT MIS'!N:N,"Manoj Chauhan",'Aug-24 CREDIT MIS'!S:S,"Disbursed")/100000</f>
        <v>0</v>
      </c>
      <c r="M78" s="69"/>
      <c r="N78" s="69"/>
      <c r="O78" s="69"/>
      <c r="P78" s="69"/>
    </row>
    <row r="79" spans="1:16" x14ac:dyDescent="0.25">
      <c r="A79" s="73" t="s">
        <v>163</v>
      </c>
      <c r="B79" s="79" t="s">
        <v>13</v>
      </c>
      <c r="C79" s="72">
        <f>COUNTIFS('Aug-24 CREDIT MIS'!C:C,"08-08-2024",'Aug-24 CREDIT MIS'!E:E,'Aug Dashboard.'!B79,'Aug-24 CREDIT MIS'!I:I,'Aug Dashboard.'!A79,'Aug-24 CREDIT MIS'!N:N,"Manoj Chauhan")</f>
        <v>0</v>
      </c>
      <c r="D79" s="72">
        <f>SUMIFS('Aug-24 CREDIT MIS'!T:T,'Aug-24 CREDIT MIS'!C:C,"08-08-2024",'Aug-24 CREDIT MIS'!E:E,'Aug Dashboard.'!B79,'Aug-24 CREDIT MIS'!I:I,'Aug Dashboard.'!A79,'Aug-24 CREDIT MIS'!N:N,"Manoj Chauhan")/100000</f>
        <v>0</v>
      </c>
      <c r="E79" s="72">
        <f>COUNTIFS('Aug-24 CREDIT MIS'!U:U,"08-08-2024",'Aug-24 CREDIT MIS'!E:E,'Aug Dashboard.'!B79,'Aug-24 CREDIT MIS'!I:I,'Aug Dashboard.'!A79,'Aug-24 CREDIT MIS'!N:N,"Manoj Chauhan",'Aug-24 CREDIT MIS'!S:S,"Sanction")</f>
        <v>0</v>
      </c>
      <c r="F79" s="72">
        <f>SUMIFS('Aug-24 CREDIT MIS'!V:V,'Aug-24 CREDIT MIS'!U:U,"08-08-2024",'Aug-24 CREDIT MIS'!E:E,'Aug Dashboard.'!B79,'Aug-24 CREDIT MIS'!I:I,'Aug Dashboard.'!A79,'Aug-24 CREDIT MIS'!N:N,"Manoj Chauhan",'Aug-24 CREDIT MIS'!S:S,"Sanction")/100000</f>
        <v>0</v>
      </c>
      <c r="G79" s="72">
        <f>COUNTIFS('Aug-24 CREDIT MIS'!U:U,"08-08-2024",'Aug-24 CREDIT MIS'!E:E,'Aug Dashboard.'!B79,'Aug-24 CREDIT MIS'!I:I,'Aug Dashboard.'!A79,'Aug-24 CREDIT MIS'!N:N,"Manoj Chauhan",'Aug-24 CREDIT MIS'!S:S,"Reject")</f>
        <v>0</v>
      </c>
      <c r="H79" s="72">
        <f>SUMIFS('Aug-24 CREDIT MIS'!T:T,'Aug-24 CREDIT MIS'!U:U,"08-08-2024",'Aug-24 CREDIT MIS'!E:E,'Aug Dashboard.'!B79,'Aug-24 CREDIT MIS'!I:I,'Aug Dashboard.'!A79,'Aug-24 CREDIT MIS'!N:N,"Manoj Chauhan",'Aug-24 CREDIT MIS'!S:S,"Reject")/100000</f>
        <v>0</v>
      </c>
      <c r="I79" s="72">
        <f t="shared" si="24"/>
        <v>0</v>
      </c>
      <c r="J79" s="72">
        <f t="shared" si="25"/>
        <v>0</v>
      </c>
      <c r="K79" s="72">
        <f>COUNTIFS('Aug-24 CREDIT MIS'!AE:AE,"08-08-2024",'Aug-24 CREDIT MIS'!E:E,'Aug Dashboard.'!B79,'Aug-24 CREDIT MIS'!I:I,'Aug Dashboard.'!A79,'Aug-24 CREDIT MIS'!N:N,"Manoj Chauhan",'Aug-24 CREDIT MIS'!S:S,"Disbursed")</f>
        <v>0</v>
      </c>
      <c r="L79" s="72">
        <f>SUMIFS('Aug-24 CREDIT MIS'!V:V,'Aug-24 CREDIT MIS'!AE:AE,"08-08-2024",'Aug-24 CREDIT MIS'!E:E,'Aug Dashboard.'!B79,'Aug-24 CREDIT MIS'!I:I,'Aug Dashboard.'!A79,'Aug-24 CREDIT MIS'!N:N,"Manoj Chauhan",'Aug-24 CREDIT MIS'!S:S,"Disbursed")/100000</f>
        <v>0</v>
      </c>
      <c r="M79" s="69"/>
      <c r="N79" s="69"/>
      <c r="O79" s="69"/>
      <c r="P79" s="69"/>
    </row>
    <row r="80" spans="1:16" x14ac:dyDescent="0.25">
      <c r="A80" s="77" t="s">
        <v>126</v>
      </c>
      <c r="B80" s="79" t="s">
        <v>497</v>
      </c>
      <c r="C80" s="72">
        <f>COUNTIFS('Aug-24 CREDIT MIS'!C:C,"08-08-2024",'Aug-24 CREDIT MIS'!E:E,'Aug Dashboard.'!B80,'Aug-24 CREDIT MIS'!I:I,'Aug Dashboard.'!A80,'Aug-24 CREDIT MIS'!N:N,"Manoj Chauhan")</f>
        <v>0</v>
      </c>
      <c r="D80" s="72">
        <f>SUMIFS('Aug-24 CREDIT MIS'!T:T,'Aug-24 CREDIT MIS'!C:C,"08-08-2024",'Aug-24 CREDIT MIS'!E:E,'Aug Dashboard.'!B80,'Aug-24 CREDIT MIS'!I:I,'Aug Dashboard.'!A80,'Aug-24 CREDIT MIS'!N:N,"Manoj Chauhan")/100000</f>
        <v>0</v>
      </c>
      <c r="E80" s="72">
        <f>COUNTIFS('Aug-24 CREDIT MIS'!U:U,"08-08-2024",'Aug-24 CREDIT MIS'!E:E,'Aug Dashboard.'!B80,'Aug-24 CREDIT MIS'!I:I,'Aug Dashboard.'!A80,'Aug-24 CREDIT MIS'!N:N,"Manoj Chauhan",'Aug-24 CREDIT MIS'!S:S,"Sanction")</f>
        <v>0</v>
      </c>
      <c r="F80" s="72">
        <f>SUMIFS('Aug-24 CREDIT MIS'!V:V,'Aug-24 CREDIT MIS'!U:U,"08-08-2024",'Aug-24 CREDIT MIS'!E:E,'Aug Dashboard.'!B80,'Aug-24 CREDIT MIS'!I:I,'Aug Dashboard.'!A80,'Aug-24 CREDIT MIS'!N:N,"Manoj Chauhan",'Aug-24 CREDIT MIS'!S:S,"Sanction")/100000</f>
        <v>0</v>
      </c>
      <c r="G80" s="72">
        <f>COUNTIFS('Aug-24 CREDIT MIS'!U:U,"08-08-2024",'Aug-24 CREDIT MIS'!E:E,'Aug Dashboard.'!B80,'Aug-24 CREDIT MIS'!I:I,'Aug Dashboard.'!A80,'Aug-24 CREDIT MIS'!N:N,"Manoj Chauhan",'Aug-24 CREDIT MIS'!S:S,"Reject")</f>
        <v>0</v>
      </c>
      <c r="H80" s="72">
        <f>SUMIFS('Aug-24 CREDIT MIS'!T:T,'Aug-24 CREDIT MIS'!U:U,"08-08-2024",'Aug-24 CREDIT MIS'!E:E,'Aug Dashboard.'!B80,'Aug-24 CREDIT MIS'!I:I,'Aug Dashboard.'!A80,'Aug-24 CREDIT MIS'!N:N,"Manoj Chauhan",'Aug-24 CREDIT MIS'!S:S,"Reject")/100000</f>
        <v>0</v>
      </c>
      <c r="I80" s="72">
        <f t="shared" ref="I80" si="26">E80+G80</f>
        <v>0</v>
      </c>
      <c r="J80" s="72">
        <f t="shared" ref="J80" si="27">H80+F80</f>
        <v>0</v>
      </c>
      <c r="K80" s="72">
        <f>COUNTIFS('Aug-24 CREDIT MIS'!AE:AE,"08-08-2024",'Aug-24 CREDIT MIS'!E:E,'Aug Dashboard.'!B80,'Aug-24 CREDIT MIS'!I:I,'Aug Dashboard.'!A80,'Aug-24 CREDIT MIS'!N:N,"Manoj Chauhan",'Aug-24 CREDIT MIS'!S:S,"Disbursed")</f>
        <v>0</v>
      </c>
      <c r="L80" s="72">
        <f>SUMIFS('Aug-24 CREDIT MIS'!V:V,'Aug-24 CREDIT MIS'!AE:AE,"08-08-2024",'Aug-24 CREDIT MIS'!E:E,'Aug Dashboard.'!B80,'Aug-24 CREDIT MIS'!I:I,'Aug Dashboard.'!A80,'Aug-24 CREDIT MIS'!N:N,"Manoj Chauhan",'Aug-24 CREDIT MIS'!S:S,"Disbursed")/100000</f>
        <v>0</v>
      </c>
      <c r="M80" s="69"/>
      <c r="N80" s="69"/>
      <c r="O80" s="69"/>
      <c r="P80" s="69"/>
    </row>
    <row r="81" spans="1:20" x14ac:dyDescent="0.25">
      <c r="A81" s="77" t="s">
        <v>126</v>
      </c>
      <c r="B81" s="79" t="s">
        <v>13</v>
      </c>
      <c r="C81" s="72">
        <f>COUNTIFS('Aug-24 CREDIT MIS'!C:C,"08-08-2024",'Aug-24 CREDIT MIS'!E:E,'Aug Dashboard.'!B81,'Aug-24 CREDIT MIS'!I:I,'Aug Dashboard.'!A81,'Aug-24 CREDIT MIS'!N:N,"Manoj Chauhan")</f>
        <v>2</v>
      </c>
      <c r="D81" s="72">
        <f>SUMIFS('Aug-24 CREDIT MIS'!T:T,'Aug-24 CREDIT MIS'!C:C,"08-08-2024",'Aug-24 CREDIT MIS'!E:E,'Aug Dashboard.'!B81,'Aug-24 CREDIT MIS'!I:I,'Aug Dashboard.'!A81,'Aug-24 CREDIT MIS'!N:N,"Manoj Chauhan")/100000</f>
        <v>17.899999999999999</v>
      </c>
      <c r="E81" s="72">
        <f>COUNTIFS('Aug-24 CREDIT MIS'!U:U,"08-08-2024",'Aug-24 CREDIT MIS'!E:E,'Aug Dashboard.'!B81,'Aug-24 CREDIT MIS'!I:I,'Aug Dashboard.'!A81,'Aug-24 CREDIT MIS'!N:N,"Manoj Chauhan",'Aug-24 CREDIT MIS'!S:S,"Sanction")</f>
        <v>0</v>
      </c>
      <c r="F81" s="72">
        <f>SUMIFS('Aug-24 CREDIT MIS'!V:V,'Aug-24 CREDIT MIS'!U:U,"08-08-2024",'Aug-24 CREDIT MIS'!E:E,'Aug Dashboard.'!B81,'Aug-24 CREDIT MIS'!I:I,'Aug Dashboard.'!A81,'Aug-24 CREDIT MIS'!N:N,"Manoj Chauhan",'Aug-24 CREDIT MIS'!S:S,"Sanction")/100000</f>
        <v>0</v>
      </c>
      <c r="G81" s="72">
        <f>COUNTIFS('Aug-24 CREDIT MIS'!U:U,"08-08-2024",'Aug-24 CREDIT MIS'!E:E,'Aug Dashboard.'!B81,'Aug-24 CREDIT MIS'!I:I,'Aug Dashboard.'!A81,'Aug-24 CREDIT MIS'!N:N,"Manoj Chauhan",'Aug-24 CREDIT MIS'!S:S,"Reject")</f>
        <v>0</v>
      </c>
      <c r="H81" s="72">
        <f>SUMIFS('Aug-24 CREDIT MIS'!T:T,'Aug-24 CREDIT MIS'!U:U,"08-08-2024",'Aug-24 CREDIT MIS'!E:E,'Aug Dashboard.'!B81,'Aug-24 CREDIT MIS'!I:I,'Aug Dashboard.'!A81,'Aug-24 CREDIT MIS'!N:N,"Manoj Chauhan",'Aug-24 CREDIT MIS'!S:S,"Reject")/100000</f>
        <v>0</v>
      </c>
      <c r="I81" s="72">
        <f t="shared" si="24"/>
        <v>0</v>
      </c>
      <c r="J81" s="72">
        <f t="shared" si="25"/>
        <v>0</v>
      </c>
      <c r="K81" s="72">
        <f>COUNTIFS('Aug-24 CREDIT MIS'!AE:AE,"08-08-2024",'Aug-24 CREDIT MIS'!E:E,'Aug Dashboard.'!B81,'Aug-24 CREDIT MIS'!I:I,'Aug Dashboard.'!A81,'Aug-24 CREDIT MIS'!N:N,"Manoj Chauhan",'Aug-24 CREDIT MIS'!S:S,"Disbursed")</f>
        <v>0</v>
      </c>
      <c r="L81" s="72">
        <f>SUMIFS('Aug-24 CREDIT MIS'!V:V,'Aug-24 CREDIT MIS'!AE:AE,"08-08-2024",'Aug-24 CREDIT MIS'!E:E,'Aug Dashboard.'!B81,'Aug-24 CREDIT MIS'!I:I,'Aug Dashboard.'!A81,'Aug-24 CREDIT MIS'!N:N,"Manoj Chauhan",'Aug-24 CREDIT MIS'!S:S,"Disbursed")/100000</f>
        <v>0</v>
      </c>
      <c r="M81" s="69"/>
      <c r="N81" s="69"/>
      <c r="O81" s="69"/>
      <c r="P81" s="69"/>
    </row>
    <row r="82" spans="1:20" x14ac:dyDescent="0.25">
      <c r="A82" s="137" t="s">
        <v>487</v>
      </c>
      <c r="B82" s="138" t="s">
        <v>485</v>
      </c>
      <c r="C82" s="72">
        <f>COUNTIFS('Aug-24 CREDIT MIS'!C:C,"08-08-2024",'Aug-24 CREDIT MIS'!E:E,'Aug Dashboard.'!B82,'Aug-24 CREDIT MIS'!I:I,'Aug Dashboard.'!A82,'Aug-24 CREDIT MIS'!N:N,"Manoj Chauhan")</f>
        <v>0</v>
      </c>
      <c r="D82" s="72">
        <f>SUMIFS('Aug-24 CREDIT MIS'!T:T,'Aug-24 CREDIT MIS'!C:C,"08-08-2024",'Aug-24 CREDIT MIS'!E:E,'Aug Dashboard.'!B82,'Aug-24 CREDIT MIS'!I:I,'Aug Dashboard.'!A82,'Aug-24 CREDIT MIS'!N:N,"Manoj Chauhan")/100000</f>
        <v>0</v>
      </c>
      <c r="E82" s="72">
        <f>COUNTIFS('Aug-24 CREDIT MIS'!U:U,"08-08-2024",'Aug-24 CREDIT MIS'!E:E,'Aug Dashboard.'!B82,'Aug-24 CREDIT MIS'!I:I,'Aug Dashboard.'!A82,'Aug-24 CREDIT MIS'!N:N,"Manoj Chauhan",'Aug-24 CREDIT MIS'!S:S,"Sanction")</f>
        <v>0</v>
      </c>
      <c r="F82" s="72">
        <f>SUMIFS('Aug-24 CREDIT MIS'!V:V,'Aug-24 CREDIT MIS'!U:U,"08-08-2024",'Aug-24 CREDIT MIS'!E:E,'Aug Dashboard.'!B82,'Aug-24 CREDIT MIS'!I:I,'Aug Dashboard.'!A82,'Aug-24 CREDIT MIS'!N:N,"Manoj Chauhan",'Aug-24 CREDIT MIS'!S:S,"Sanction")/100000</f>
        <v>0</v>
      </c>
      <c r="G82" s="72">
        <f>COUNTIFS('Aug-24 CREDIT MIS'!U:U,"08-08-2024",'Aug-24 CREDIT MIS'!E:E,'Aug Dashboard.'!B82,'Aug-24 CREDIT MIS'!I:I,'Aug Dashboard.'!A82,'Aug-24 CREDIT MIS'!N:N,"Manoj Chauhan",'Aug-24 CREDIT MIS'!S:S,"Reject")</f>
        <v>0</v>
      </c>
      <c r="H82" s="72">
        <f>SUMIFS('Aug-24 CREDIT MIS'!T:T,'Aug-24 CREDIT MIS'!U:U,"08-08-2024",'Aug-24 CREDIT MIS'!E:E,'Aug Dashboard.'!B82,'Aug-24 CREDIT MIS'!I:I,'Aug Dashboard.'!A82,'Aug-24 CREDIT MIS'!N:N,"Manoj Chauhan",'Aug-24 CREDIT MIS'!S:S,"Reject")/100000</f>
        <v>0</v>
      </c>
      <c r="I82" s="72">
        <f t="shared" ref="I82" si="28">E82+G82</f>
        <v>0</v>
      </c>
      <c r="J82" s="72">
        <f t="shared" ref="J82" si="29">H82+F82</f>
        <v>0</v>
      </c>
      <c r="K82" s="72">
        <f>COUNTIFS('Aug-24 CREDIT MIS'!AE:AE,"08-08-2024",'Aug-24 CREDIT MIS'!E:E,'Aug Dashboard.'!B82,'Aug-24 CREDIT MIS'!I:I,'Aug Dashboard.'!A82,'Aug-24 CREDIT MIS'!N:N,"Manoj Chauhan",'Aug-24 CREDIT MIS'!S:S,"Disbursed")</f>
        <v>0</v>
      </c>
      <c r="L82" s="72">
        <f>SUMIFS('Aug-24 CREDIT MIS'!V:V,'Aug-24 CREDIT MIS'!AE:AE,"08-08-2024",'Aug-24 CREDIT MIS'!E:E,'Aug Dashboard.'!B82,'Aug-24 CREDIT MIS'!I:I,'Aug Dashboard.'!A82,'Aug-24 CREDIT MIS'!N:N,"Manoj Chauhan",'Aug-24 CREDIT MIS'!S:S,"Disbursed")/100000</f>
        <v>0</v>
      </c>
      <c r="M82" s="69"/>
      <c r="N82" s="69"/>
      <c r="O82" s="69"/>
      <c r="P82" s="69"/>
    </row>
    <row r="83" spans="1:20" x14ac:dyDescent="0.25">
      <c r="A83" t="s">
        <v>498</v>
      </c>
      <c r="B83" s="45" t="s">
        <v>497</v>
      </c>
      <c r="C83" s="72">
        <f>COUNTIFS('Aug-24 CREDIT MIS'!C:C,"08-08-2024",'Aug-24 CREDIT MIS'!E:E,'Aug Dashboard.'!B83,'Aug-24 CREDIT MIS'!I:I,'Aug Dashboard.'!A83,'Aug-24 CREDIT MIS'!N:N,"Manoj Chauhan")</f>
        <v>0</v>
      </c>
      <c r="D83" s="72">
        <f>SUMIFS('Aug-24 CREDIT MIS'!T:T,'Aug-24 CREDIT MIS'!C:C,"08-08-2024",'Aug-24 CREDIT MIS'!E:E,'Aug Dashboard.'!B83,'Aug-24 CREDIT MIS'!I:I,'Aug Dashboard.'!A83,'Aug-24 CREDIT MIS'!N:N,"Manoj Chauhan")/100000</f>
        <v>0</v>
      </c>
      <c r="E83" s="72">
        <f>COUNTIFS('Aug-24 CREDIT MIS'!U:U,"08-08-2024",'Aug-24 CREDIT MIS'!E:E,'Aug Dashboard.'!B83,'Aug-24 CREDIT MIS'!I:I,'Aug Dashboard.'!A83,'Aug-24 CREDIT MIS'!N:N,"Manoj Chauhan",'Aug-24 CREDIT MIS'!S:S,"Sanction")</f>
        <v>0</v>
      </c>
      <c r="F83" s="72">
        <f>SUMIFS('Aug-24 CREDIT MIS'!V:V,'Aug-24 CREDIT MIS'!U:U,"08-08-2024",'Aug-24 CREDIT MIS'!E:E,'Aug Dashboard.'!B83,'Aug-24 CREDIT MIS'!I:I,'Aug Dashboard.'!A83,'Aug-24 CREDIT MIS'!N:N,"Manoj Chauhan",'Aug-24 CREDIT MIS'!S:S,"Sanction")/100000</f>
        <v>0</v>
      </c>
      <c r="G83" s="72">
        <f>COUNTIFS('Aug-24 CREDIT MIS'!U:U,"08-08-2024",'Aug-24 CREDIT MIS'!E:E,'Aug Dashboard.'!B83,'Aug-24 CREDIT MIS'!I:I,'Aug Dashboard.'!A83,'Aug-24 CREDIT MIS'!N:N,"Manoj Chauhan",'Aug-24 CREDIT MIS'!S:S,"Reject")</f>
        <v>0</v>
      </c>
      <c r="H83" s="72">
        <f>SUMIFS('Aug-24 CREDIT MIS'!T:T,'Aug-24 CREDIT MIS'!U:U,"08-08-2024",'Aug-24 CREDIT MIS'!E:E,'Aug Dashboard.'!B83,'Aug-24 CREDIT MIS'!I:I,'Aug Dashboard.'!A83,'Aug-24 CREDIT MIS'!N:N,"Manoj Chauhan",'Aug-24 CREDIT MIS'!S:S,"Reject")/100000</f>
        <v>0</v>
      </c>
      <c r="I83" s="72">
        <f t="shared" ref="I83" si="30">E83+G83</f>
        <v>0</v>
      </c>
      <c r="J83" s="72">
        <f t="shared" ref="J83" si="31">H83+F83</f>
        <v>0</v>
      </c>
      <c r="K83" s="72">
        <f>COUNTIFS('Aug-24 CREDIT MIS'!AE:AE,"08-08-2024",'Aug-24 CREDIT MIS'!E:E,'Aug Dashboard.'!B83,'Aug-24 CREDIT MIS'!I:I,'Aug Dashboard.'!A83,'Aug-24 CREDIT MIS'!N:N,"Manoj Chauhan",'Aug-24 CREDIT MIS'!S:S,"Disbursed")</f>
        <v>0</v>
      </c>
      <c r="L83" s="72">
        <f>SUMIFS('Aug-24 CREDIT MIS'!V:V,'Aug-24 CREDIT MIS'!AE:AE,"08-08-2024",'Aug-24 CREDIT MIS'!E:E,'Aug Dashboard.'!B83,'Aug-24 CREDIT MIS'!I:I,'Aug Dashboard.'!A83,'Aug-24 CREDIT MIS'!N:N,"Manoj Chauhan",'Aug-24 CREDIT MIS'!S:S,"Disbursed")/100000</f>
        <v>0</v>
      </c>
      <c r="M83" s="69"/>
      <c r="N83" s="69"/>
      <c r="O83" s="69"/>
      <c r="P83" s="69"/>
    </row>
    <row r="84" spans="1:20" x14ac:dyDescent="0.25">
      <c r="A84" s="78" t="s">
        <v>155</v>
      </c>
      <c r="B84" s="77" t="s">
        <v>154</v>
      </c>
      <c r="C84" s="75">
        <f>COUNTIFS('Aug-24 CREDIT MIS'!C:C,"08-08-2024",'Aug-24 CREDIT MIS'!E:E,'Aug Dashboard.'!B84,'Aug-24 CREDIT MIS'!I:I,'Aug Dashboard.'!A84,'Aug-24 CREDIT MIS'!N:N,"Manoj Chauhan")</f>
        <v>0</v>
      </c>
      <c r="D84" s="72">
        <f>SUMIFS('Aug-24 CREDIT MIS'!T:T,'Aug-24 CREDIT MIS'!C:C,"08-08-2024",'Aug-24 CREDIT MIS'!E:E,'Aug Dashboard.'!B84,'Aug-24 CREDIT MIS'!I:I,'Aug Dashboard.'!A84,'Aug-24 CREDIT MIS'!N:N,"Manoj Chauhan")/100000</f>
        <v>0</v>
      </c>
      <c r="E84" s="72">
        <f>COUNTIFS('Aug-24 CREDIT MIS'!U:U,"08-08-2024",'Aug-24 CREDIT MIS'!E:E,'Aug Dashboard.'!B84,'Aug-24 CREDIT MIS'!I:I,'Aug Dashboard.'!A84,'Aug-24 CREDIT MIS'!N:N,"Manoj Chauhan",'Aug-24 CREDIT MIS'!S:S,"Sanction")</f>
        <v>0</v>
      </c>
      <c r="F84" s="72">
        <f>SUMIFS('Aug-24 CREDIT MIS'!V:V,'Aug-24 CREDIT MIS'!U:U,"08-08-2024",'Aug-24 CREDIT MIS'!E:E,'Aug Dashboard.'!B84,'Aug-24 CREDIT MIS'!I:I,'Aug Dashboard.'!A84,'Aug-24 CREDIT MIS'!N:N,"Manoj Chauhan",'Aug-24 CREDIT MIS'!S:S,"Sanction")/100000</f>
        <v>0</v>
      </c>
      <c r="G84" s="72">
        <f>COUNTIFS('Aug-24 CREDIT MIS'!U:U,"08-08-2024",'Aug-24 CREDIT MIS'!E:E,'Aug Dashboard.'!B84,'Aug-24 CREDIT MIS'!I:I,'Aug Dashboard.'!A84,'Aug-24 CREDIT MIS'!N:N,"Manoj Chauhan",'Aug-24 CREDIT MIS'!S:S,"Reject")</f>
        <v>0</v>
      </c>
      <c r="H84" s="72">
        <f>SUMIFS('Aug-24 CREDIT MIS'!T:T,'Aug-24 CREDIT MIS'!U:U,"08-08-2024",'Aug-24 CREDIT MIS'!E:E,'Aug Dashboard.'!B84,'Aug-24 CREDIT MIS'!I:I,'Aug Dashboard.'!A84,'Aug-24 CREDIT MIS'!N:N,"Manoj Chauhan",'Aug-24 CREDIT MIS'!S:S,"Reject")/100000</f>
        <v>0</v>
      </c>
      <c r="I84" s="72">
        <f t="shared" si="24"/>
        <v>0</v>
      </c>
      <c r="J84" s="72">
        <f t="shared" si="25"/>
        <v>0</v>
      </c>
      <c r="K84" s="72">
        <f>COUNTIFS('Aug-24 CREDIT MIS'!AE:AE,"08-08-2024",'Aug-24 CREDIT MIS'!E:E,'Aug Dashboard.'!B84,'Aug-24 CREDIT MIS'!I:I,'Aug Dashboard.'!A84,'Aug-24 CREDIT MIS'!N:N,"Manoj Chauhan",'Aug-24 CREDIT MIS'!S:S,"Disbursed")</f>
        <v>0</v>
      </c>
      <c r="L84" s="72">
        <f>SUMIFS('Aug-24 CREDIT MIS'!V:V,'Aug-24 CREDIT MIS'!AE:AE,"08-08-2024",'Aug-24 CREDIT MIS'!E:E,'Aug Dashboard.'!B84,'Aug-24 CREDIT MIS'!I:I,'Aug Dashboard.'!A84,'Aug-24 CREDIT MIS'!N:N,"Manoj Chauhan",'Aug-24 CREDIT MIS'!S:S,"Disbursed")/100000</f>
        <v>0</v>
      </c>
      <c r="M84" s="69"/>
      <c r="N84" s="69"/>
      <c r="O84" s="69"/>
      <c r="P84" s="69"/>
    </row>
    <row r="85" spans="1:20" x14ac:dyDescent="0.25">
      <c r="A85" s="77" t="s">
        <v>156</v>
      </c>
      <c r="B85" s="77" t="s">
        <v>46</v>
      </c>
      <c r="C85" s="75">
        <f>COUNTIFS('Aug-24 CREDIT MIS'!C:C,"08-08-2024",'Aug-24 CREDIT MIS'!E:E,'Aug Dashboard.'!B85,'Aug-24 CREDIT MIS'!I:I,'Aug Dashboard.'!A85,'Aug-24 CREDIT MIS'!N:N,"Manoj Chauhan")</f>
        <v>0</v>
      </c>
      <c r="D85" s="72">
        <f>SUMIFS('Aug-24 CREDIT MIS'!T:T,'Aug-24 CREDIT MIS'!C:C,"08-08-2024",'Aug-24 CREDIT MIS'!E:E,'Aug Dashboard.'!B85,'Aug-24 CREDIT MIS'!I:I,'Aug Dashboard.'!A85,'Aug-24 CREDIT MIS'!N:N,"Manoj Chauhan")/100000</f>
        <v>0</v>
      </c>
      <c r="E85" s="72">
        <f>COUNTIFS('Aug-24 CREDIT MIS'!U:U,"08-08-2024",'Aug-24 CREDIT MIS'!E:E,'Aug Dashboard.'!B85,'Aug-24 CREDIT MIS'!I:I,'Aug Dashboard.'!A85,'Aug-24 CREDIT MIS'!N:N,"Manoj Chauhan",'Aug-24 CREDIT MIS'!S:S,"Sanction")</f>
        <v>0</v>
      </c>
      <c r="F85" s="72">
        <f>SUMIFS('Aug-24 CREDIT MIS'!V:V,'Aug-24 CREDIT MIS'!U:U,"08-08-2024",'Aug-24 CREDIT MIS'!E:E,'Aug Dashboard.'!B85,'Aug-24 CREDIT MIS'!I:I,'Aug Dashboard.'!A85,'Aug-24 CREDIT MIS'!N:N,"Manoj Chauhan",'Aug-24 CREDIT MIS'!S:S,"Sanction")/100000</f>
        <v>0</v>
      </c>
      <c r="G85" s="72">
        <f>COUNTIFS('Aug-24 CREDIT MIS'!U:U,"08-08-2024",'Aug-24 CREDIT MIS'!E:E,'Aug Dashboard.'!B85,'Aug-24 CREDIT MIS'!I:I,'Aug Dashboard.'!A85,'Aug-24 CREDIT MIS'!N:N,"Manoj Chauhan",'Aug-24 CREDIT MIS'!S:S,"Reject")</f>
        <v>0</v>
      </c>
      <c r="H85" s="72">
        <f>SUMIFS('Aug-24 CREDIT MIS'!T:T,'Aug-24 CREDIT MIS'!U:U,"08-08-2024",'Aug-24 CREDIT MIS'!E:E,'Aug Dashboard.'!B85,'Aug-24 CREDIT MIS'!I:I,'Aug Dashboard.'!A85,'Aug-24 CREDIT MIS'!N:N,"Manoj Chauhan",'Aug-24 CREDIT MIS'!S:S,"Reject")/100000</f>
        <v>0</v>
      </c>
      <c r="I85" s="72">
        <f t="shared" si="24"/>
        <v>0</v>
      </c>
      <c r="J85" s="72">
        <f t="shared" si="25"/>
        <v>0</v>
      </c>
      <c r="K85" s="72">
        <f>COUNTIFS('Aug-24 CREDIT MIS'!AE:AE,"08-08-2024",'Aug-24 CREDIT MIS'!E:E,'Aug Dashboard.'!B85,'Aug-24 CREDIT MIS'!I:I,'Aug Dashboard.'!A85,'Aug-24 CREDIT MIS'!N:N,"Manoj Chauhan",'Aug-24 CREDIT MIS'!S:S,"Disbursed")</f>
        <v>0</v>
      </c>
      <c r="L85" s="72">
        <f>SUMIFS('Aug-24 CREDIT MIS'!V:V,'Aug-24 CREDIT MIS'!AE:AE,"08-08-2024",'Aug-24 CREDIT MIS'!E:E,'Aug Dashboard.'!B85,'Aug-24 CREDIT MIS'!I:I,'Aug Dashboard.'!A85,'Aug-24 CREDIT MIS'!N:N,"Manoj Chauhan",'Aug-24 CREDIT MIS'!S:S,"Disbursed")/100000</f>
        <v>0</v>
      </c>
      <c r="M85" s="69"/>
      <c r="N85" s="69"/>
      <c r="O85" s="69"/>
      <c r="P85" s="69"/>
    </row>
    <row r="86" spans="1:20" ht="15.75" thickBot="1" x14ac:dyDescent="0.3">
      <c r="A86" s="76" t="s">
        <v>157</v>
      </c>
      <c r="B86" s="76" t="s">
        <v>66</v>
      </c>
      <c r="C86" s="75">
        <f>COUNTIFS('Aug-24 CREDIT MIS'!C:C,"08-08-2024",'Aug-24 CREDIT MIS'!E:E,'Aug Dashboard.'!B86,'Aug-24 CREDIT MIS'!I:I,'Aug Dashboard.'!A86,'Aug-24 CREDIT MIS'!N:N,"Manoj Chauhan")</f>
        <v>0</v>
      </c>
      <c r="D86" s="72">
        <f>SUMIFS('Aug-24 CREDIT MIS'!T:T,'Aug-24 CREDIT MIS'!C:C,"08-08-2024",'Aug-24 CREDIT MIS'!E:E,'Aug Dashboard.'!B86,'Aug-24 CREDIT MIS'!I:I,'Aug Dashboard.'!A86,'Aug-24 CREDIT MIS'!N:N,"Manoj Chauhan")/100000</f>
        <v>0</v>
      </c>
      <c r="E86" s="72">
        <f>COUNTIFS('Aug-24 CREDIT MIS'!U:U,"08-08-2024",'Aug-24 CREDIT MIS'!E:E,'Aug Dashboard.'!B86,'Aug-24 CREDIT MIS'!I:I,'Aug Dashboard.'!A86,'Aug-24 CREDIT MIS'!N:N,"Manoj Chauhan",'Aug-24 CREDIT MIS'!S:S,"Sanction")</f>
        <v>0</v>
      </c>
      <c r="F86" s="72">
        <f>SUMIFS('Aug-24 CREDIT MIS'!V:V,'Aug-24 CREDIT MIS'!U:U,"08-08-2024",'Aug-24 CREDIT MIS'!E:E,'Aug Dashboard.'!B86,'Aug-24 CREDIT MIS'!I:I,'Aug Dashboard.'!A86,'Aug-24 CREDIT MIS'!N:N,"Manoj Chauhan",'Aug-24 CREDIT MIS'!S:S,"Sanction")/100000</f>
        <v>0</v>
      </c>
      <c r="G86" s="72">
        <f>COUNTIFS('Aug-24 CREDIT MIS'!U:U,"08-08-2024",'Aug-24 CREDIT MIS'!E:E,'Aug Dashboard.'!B86,'Aug-24 CREDIT MIS'!I:I,'Aug Dashboard.'!A86,'Aug-24 CREDIT MIS'!N:N,"Manoj Chauhan",'Aug-24 CREDIT MIS'!S:S,"Reject")</f>
        <v>0</v>
      </c>
      <c r="H86" s="72">
        <f>SUMIFS('Aug-24 CREDIT MIS'!T:T,'Aug-24 CREDIT MIS'!U:U,"08-08-2024",'Aug-24 CREDIT MIS'!E:E,'Aug Dashboard.'!B86,'Aug-24 CREDIT MIS'!I:I,'Aug Dashboard.'!A86,'Aug-24 CREDIT MIS'!N:N,"Manoj Chauhan",'Aug-24 CREDIT MIS'!S:S,"Reject")/100000</f>
        <v>0</v>
      </c>
      <c r="I86" s="72">
        <f t="shared" si="24"/>
        <v>0</v>
      </c>
      <c r="J86" s="72">
        <f t="shared" si="25"/>
        <v>0</v>
      </c>
      <c r="K86" s="72">
        <f>COUNTIFS('Aug-24 CREDIT MIS'!AE:AE,"08-08-2024",'Aug-24 CREDIT MIS'!E:E,'Aug Dashboard.'!B86,'Aug-24 CREDIT MIS'!I:I,'Aug Dashboard.'!A86,'Aug-24 CREDIT MIS'!N:N,"Manoj Chauhan",'Aug-24 CREDIT MIS'!S:S,"Disbursed")</f>
        <v>0</v>
      </c>
      <c r="L86" s="72">
        <f>SUMIFS('Aug-24 CREDIT MIS'!V:V,'Aug-24 CREDIT MIS'!AE:AE,"08-08-2024",'Aug-24 CREDIT MIS'!E:E,'Aug Dashboard.'!B86,'Aug-24 CREDIT MIS'!I:I,'Aug Dashboard.'!A86,'Aug-24 CREDIT MIS'!N:N,"Manoj Chauhan",'Aug-24 CREDIT MIS'!S:S,"Disbursed")/100000</f>
        <v>0</v>
      </c>
      <c r="M86" s="69"/>
      <c r="N86" s="69"/>
      <c r="O86" s="69"/>
      <c r="P86" s="69"/>
    </row>
    <row r="87" spans="1:20" x14ac:dyDescent="0.25">
      <c r="A87" s="74" t="s">
        <v>153</v>
      </c>
      <c r="B87" s="73" t="s">
        <v>18</v>
      </c>
      <c r="C87" s="72">
        <f>COUNTIFS('Aug-24 CREDIT MIS'!C:C,"08-08-2024",'Aug-24 CREDIT MIS'!E:E,'Aug Dashboard.'!B87,'Aug-24 CREDIT MIS'!I:I,'Aug Dashboard.'!A87,'Aug-24 CREDIT MIS'!N:N,"Manoj Chauhan")</f>
        <v>0</v>
      </c>
      <c r="D87" s="72">
        <f>SUMIFS('Aug-24 CREDIT MIS'!T:T,'Aug-24 CREDIT MIS'!C:C,"08-08-2024",'Aug-24 CREDIT MIS'!E:E,'Aug Dashboard.'!B87,'Aug-24 CREDIT MIS'!I:I,'Aug Dashboard.'!A87,'Aug-24 CREDIT MIS'!N:N,"Manoj Chauhan")/100000</f>
        <v>0</v>
      </c>
      <c r="E87" s="72">
        <f>COUNTIFS('Aug-24 CREDIT MIS'!U:U,"08-08-2024",'Aug-24 CREDIT MIS'!E:E,'Aug Dashboard.'!B87,'Aug-24 CREDIT MIS'!I:I,'Aug Dashboard.'!A87,'Aug-24 CREDIT MIS'!N:N,"Manoj Chauhan",'Aug-24 CREDIT MIS'!S:S,"Sanction")</f>
        <v>2</v>
      </c>
      <c r="F87" s="72">
        <f>SUMIFS('Aug-24 CREDIT MIS'!V:V,'Aug-24 CREDIT MIS'!U:U,"08-08-2024",'Aug-24 CREDIT MIS'!E:E,'Aug Dashboard.'!B87,'Aug-24 CREDIT MIS'!I:I,'Aug Dashboard.'!A87,'Aug-24 CREDIT MIS'!N:N,"Manoj Chauhan",'Aug-24 CREDIT MIS'!S:S,"Sanction")/100000</f>
        <v>6.5</v>
      </c>
      <c r="G87" s="72">
        <f>COUNTIFS('Aug-24 CREDIT MIS'!U:U,"08-08-2024",'Aug-24 CREDIT MIS'!E:E,'Aug Dashboard.'!B87,'Aug-24 CREDIT MIS'!I:I,'Aug Dashboard.'!A87,'Aug-24 CREDIT MIS'!N:N,"Manoj Chauhan",'Aug-24 CREDIT MIS'!S:S,"Reject")</f>
        <v>0</v>
      </c>
      <c r="H87" s="72">
        <f>SUMIFS('Aug-24 CREDIT MIS'!T:T,'Aug-24 CREDIT MIS'!U:U,"08-08-2024",'Aug-24 CREDIT MIS'!E:E,'Aug Dashboard.'!B87,'Aug-24 CREDIT MIS'!I:I,'Aug Dashboard.'!A87,'Aug-24 CREDIT MIS'!N:N,"Manoj Chauhan",'Aug-24 CREDIT MIS'!S:S,"Reject")/100000</f>
        <v>0</v>
      </c>
      <c r="I87" s="72">
        <f t="shared" si="24"/>
        <v>2</v>
      </c>
      <c r="J87" s="72">
        <f t="shared" si="25"/>
        <v>6.5</v>
      </c>
      <c r="K87" s="72">
        <f>COUNTIFS('Aug-24 CREDIT MIS'!AE:AE,"08-08-2024",'Aug-24 CREDIT MIS'!E:E,'Aug Dashboard.'!B87,'Aug-24 CREDIT MIS'!I:I,'Aug Dashboard.'!A87,'Aug-24 CREDIT MIS'!N:N,"Manoj Chauhan",'Aug-24 CREDIT MIS'!S:S,"Disbursed")</f>
        <v>0</v>
      </c>
      <c r="L87" s="72">
        <f>SUMIFS('Aug-24 CREDIT MIS'!V:V,'Aug-24 CREDIT MIS'!AE:AE,"08-08-2024",'Aug-24 CREDIT MIS'!E:E,'Aug Dashboard.'!B87,'Aug-24 CREDIT MIS'!I:I,'Aug Dashboard.'!A87,'Aug-24 CREDIT MIS'!N:N,"Manoj Chauhan",'Aug-24 CREDIT MIS'!S:S,"Disbursed")/100000</f>
        <v>0</v>
      </c>
      <c r="M87" s="69"/>
      <c r="N87" s="69"/>
      <c r="O87" s="69"/>
      <c r="P87" s="69"/>
    </row>
    <row r="88" spans="1:20" x14ac:dyDescent="0.25">
      <c r="A88" s="164" t="s">
        <v>152</v>
      </c>
      <c r="B88" s="165"/>
      <c r="C88" s="71">
        <f t="shared" ref="C88:L88" si="32">SUM(C73:C87)</f>
        <v>5</v>
      </c>
      <c r="D88" s="71">
        <f t="shared" si="32"/>
        <v>44.8</v>
      </c>
      <c r="E88" s="71">
        <f t="shared" si="32"/>
        <v>2</v>
      </c>
      <c r="F88" s="71">
        <f t="shared" si="32"/>
        <v>6.5</v>
      </c>
      <c r="G88" s="71">
        <f t="shared" si="32"/>
        <v>0</v>
      </c>
      <c r="H88" s="71">
        <f t="shared" si="32"/>
        <v>0</v>
      </c>
      <c r="I88" s="71">
        <f t="shared" si="32"/>
        <v>2</v>
      </c>
      <c r="J88" s="71">
        <f t="shared" si="32"/>
        <v>6.5</v>
      </c>
      <c r="K88" s="71">
        <f t="shared" si="32"/>
        <v>0</v>
      </c>
      <c r="L88" s="71">
        <f t="shared" si="32"/>
        <v>0</v>
      </c>
      <c r="M88" s="69"/>
      <c r="N88" s="69"/>
      <c r="O88" s="69"/>
      <c r="P88" s="69"/>
    </row>
    <row r="89" spans="1:20" x14ac:dyDescent="0.25">
      <c r="A89" s="170" t="s">
        <v>151</v>
      </c>
      <c r="B89" s="170"/>
      <c r="C89" s="70">
        <f t="shared" ref="C89:L89" si="33">SUM(C88,C72)</f>
        <v>19</v>
      </c>
      <c r="D89" s="70">
        <f t="shared" si="33"/>
        <v>132.5</v>
      </c>
      <c r="E89" s="70">
        <f t="shared" si="33"/>
        <v>2</v>
      </c>
      <c r="F89" s="70">
        <f t="shared" si="33"/>
        <v>6.5</v>
      </c>
      <c r="G89" s="70">
        <f t="shared" si="33"/>
        <v>5</v>
      </c>
      <c r="H89" s="70">
        <f t="shared" si="33"/>
        <v>32.99</v>
      </c>
      <c r="I89" s="70">
        <f t="shared" si="33"/>
        <v>7</v>
      </c>
      <c r="J89" s="70">
        <f t="shared" si="33"/>
        <v>39.49</v>
      </c>
      <c r="K89" s="70">
        <f t="shared" si="33"/>
        <v>0</v>
      </c>
      <c r="L89" s="70">
        <f t="shared" si="33"/>
        <v>0</v>
      </c>
      <c r="M89" s="69"/>
      <c r="N89" s="69"/>
      <c r="O89" s="69"/>
      <c r="P89" s="69"/>
    </row>
    <row r="90" spans="1:20" x14ac:dyDescent="0.25">
      <c r="A90" s="149"/>
      <c r="B90" s="149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69"/>
      <c r="N90" s="69"/>
      <c r="O90" s="69"/>
      <c r="P90" s="69"/>
    </row>
    <row r="91" spans="1:20" x14ac:dyDescent="0.25">
      <c r="A91" s="178" t="s">
        <v>517</v>
      </c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</row>
    <row r="92" spans="1:20" ht="15.75" x14ac:dyDescent="0.25">
      <c r="A92" s="175" t="s">
        <v>146</v>
      </c>
      <c r="B92" s="176"/>
      <c r="C92" s="177" t="s">
        <v>145</v>
      </c>
      <c r="D92" s="177"/>
      <c r="E92" s="177" t="s">
        <v>144</v>
      </c>
      <c r="F92" s="177"/>
      <c r="G92" s="177" t="s">
        <v>143</v>
      </c>
      <c r="H92" s="177"/>
      <c r="I92" s="180" t="s">
        <v>142</v>
      </c>
      <c r="J92" s="181"/>
      <c r="K92" s="177" t="s">
        <v>141</v>
      </c>
      <c r="L92" s="177"/>
      <c r="M92" s="177" t="s">
        <v>140</v>
      </c>
      <c r="N92" s="177"/>
      <c r="O92" s="177" t="s">
        <v>21</v>
      </c>
      <c r="P92" s="177"/>
      <c r="Q92" s="177" t="s">
        <v>7</v>
      </c>
      <c r="R92" s="177"/>
      <c r="S92" s="177" t="s">
        <v>0</v>
      </c>
      <c r="T92" s="177"/>
    </row>
    <row r="93" spans="1:20" ht="16.5" customHeight="1" x14ac:dyDescent="0.25">
      <c r="A93" s="168" t="s">
        <v>105</v>
      </c>
      <c r="B93" s="169"/>
      <c r="C93" s="32" t="s">
        <v>138</v>
      </c>
      <c r="D93" s="32" t="s">
        <v>136</v>
      </c>
      <c r="E93" s="32" t="s">
        <v>137</v>
      </c>
      <c r="F93" s="32" t="s">
        <v>136</v>
      </c>
      <c r="G93" s="32" t="s">
        <v>137</v>
      </c>
      <c r="H93" s="32" t="s">
        <v>136</v>
      </c>
      <c r="I93" s="32" t="s">
        <v>137</v>
      </c>
      <c r="J93" s="32" t="s">
        <v>136</v>
      </c>
      <c r="K93" s="32" t="s">
        <v>137</v>
      </c>
      <c r="L93" s="32" t="s">
        <v>136</v>
      </c>
      <c r="M93" s="32" t="s">
        <v>137</v>
      </c>
      <c r="N93" s="32" t="s">
        <v>136</v>
      </c>
      <c r="O93" s="32" t="s">
        <v>137</v>
      </c>
      <c r="P93" s="32" t="s">
        <v>136</v>
      </c>
      <c r="Q93" s="32" t="s">
        <v>137</v>
      </c>
      <c r="R93" s="32" t="s">
        <v>136</v>
      </c>
      <c r="S93" s="32" t="s">
        <v>137</v>
      </c>
      <c r="T93" s="32" t="s">
        <v>136</v>
      </c>
    </row>
    <row r="94" spans="1:20" x14ac:dyDescent="0.25">
      <c r="A94" s="46" t="s">
        <v>223</v>
      </c>
      <c r="B94" s="45" t="s">
        <v>12</v>
      </c>
      <c r="C94" s="42">
        <f>COUNTIFS('Aug-24 CREDIT MIS'!C:C,"&lt;01-08-2024",'Aug-24 CREDIT MIS'!E:E,'Aug Dashboard.'!B94,'Aug-24 CREDIT MIS'!I:I,'Aug Dashboard.'!A94,'Aug-24 CREDIT MIS'!N:N,"Ajay Gupta")</f>
        <v>0</v>
      </c>
      <c r="D94" s="42">
        <f>SUMIFS('Aug-24 CREDIT MIS'!T:T,'Aug-24 CREDIT MIS'!C:C,"&lt;01-08-2024",'Aug-24 CREDIT MIS'!E:E,'Aug Dashboard.'!B94,'Aug-24 CREDIT MIS'!I:I,'Aug Dashboard.'!A94,'Aug-24 CREDIT MIS'!N:N,"Ajay Gupta")/100000</f>
        <v>0</v>
      </c>
      <c r="E94" s="42">
        <f>COUNTIFS('Aug-24 CREDIT MIS'!C:C,"&gt;=01-08-2024",'Aug-24 CREDIT MIS'!E:E,'Aug Dashboard.'!B94,'Aug-24 CREDIT MIS'!I:I,'Aug Dashboard.'!A94,'Aug-24 CREDIT MIS'!N:N,"Ajay Gupta")</f>
        <v>2</v>
      </c>
      <c r="F94" s="42">
        <f>SUMIFS('Aug-24 CREDIT MIS'!T:T,'Aug-24 CREDIT MIS'!C:C,"&gt;=01-08-2024",'Aug-24 CREDIT MIS'!E:E,'Aug Dashboard.'!B94,'Aug-24 CREDIT MIS'!I:I,'Aug Dashboard.'!A94,'Aug-24 CREDIT MIS'!N:N,"Ajay Gupta")/100000</f>
        <v>13</v>
      </c>
      <c r="G94" s="42">
        <f t="shared" ref="G94:G106" si="34">E94+C94</f>
        <v>2</v>
      </c>
      <c r="H94" s="42">
        <f t="shared" ref="H94:H106" si="35">F94+D94</f>
        <v>13</v>
      </c>
      <c r="I94" s="42">
        <f>COUNTIFS('Aug-24 CREDIT MIS'!S:S,"Sanction",'Aug-24 CREDIT MIS'!E:E,'Aug Dashboard.'!B94,'Aug-24 CREDIT MIS'!I:I,'Aug Dashboard.'!A94,'Aug-24 CREDIT MIS'!N:N,'Aug Dashboard.'!$A$107)+COUNTIFS('Aug-24 CREDIT MIS'!S:S,"Disbursed",'Aug-24 CREDIT MIS'!E:E,'Aug Dashboard.'!B94,'Aug-24 CREDIT MIS'!I:I,'Aug Dashboard.'!A94,'Aug-24 CREDIT MIS'!N:N,'Aug Dashboard.'!$A$107)</f>
        <v>0</v>
      </c>
      <c r="J94" s="42">
        <f>SUMIFS('Aug-24 CREDIT MIS'!V:V,'Aug-24 CREDIT MIS'!S:S,"Sanction",'Aug-24 CREDIT MIS'!E:E,'Aug Dashboard.'!B94,'Aug-24 CREDIT MIS'!I:I,'Aug Dashboard.'!A94,'Aug-24 CREDIT MIS'!N:N,'Aug Dashboard.'!$A$107)/100000+SUMIFS('Aug-24 CREDIT MIS'!V:V,'Aug-24 CREDIT MIS'!S:S,"Disbursed",'Aug-24 CREDIT MIS'!E:E,'Aug Dashboard.'!B94,'Aug-24 CREDIT MIS'!I:I,'Aug Dashboard.'!A94,'Aug-24 CREDIT MIS'!N:N,'Aug Dashboard.'!$A$107)/100000</f>
        <v>0</v>
      </c>
      <c r="K94" s="42">
        <f>COUNTIFS('Aug-24 CREDIT MIS'!S:S,"Reject",'Aug-24 CREDIT MIS'!E:E,'Aug Dashboard.'!B94,'Aug-24 CREDIT MIS'!I:I,'Aug Dashboard.'!A94,'Aug-24 CREDIT MIS'!N:N,'Aug Dashboard.'!$A$107)</f>
        <v>0</v>
      </c>
      <c r="L94" s="42">
        <f>SUMIFS('Aug-24 CREDIT MIS'!T:T,'Aug-24 CREDIT MIS'!S:S,"Reject",'Aug-24 CREDIT MIS'!E:E,'Aug Dashboard.'!B94,'Aug-24 CREDIT MIS'!I:I,'Aug Dashboard.'!A94,'Aug-24 CREDIT MIS'!N:N,'Aug Dashboard.'!$A$107)/100000</f>
        <v>0</v>
      </c>
      <c r="M94" s="42">
        <f>COUNTIFS('Aug-24 CREDIT MIS'!S:S,"Recommend",'Aug-24 CREDIT MIS'!E:E,'Aug Dashboard.'!B94,'Aug-24 CREDIT MIS'!I:I,'Aug Dashboard.'!A94,'Aug-24 CREDIT MIS'!N:N,'Aug Dashboard.'!$A$107)</f>
        <v>0</v>
      </c>
      <c r="N94" s="42">
        <f>SUMIFS('Aug-24 CREDIT MIS'!T:T,'Aug-24 CREDIT MIS'!S:S,"Recommend",'Aug-24 CREDIT MIS'!E:E,'Aug Dashboard.'!B94,'Aug-24 CREDIT MIS'!I:I,'Aug Dashboard.'!A94,'Aug-24 CREDIT MIS'!N:N,'Aug Dashboard.'!$A$107)/100000</f>
        <v>0</v>
      </c>
      <c r="O94" s="42">
        <f>COUNTIFS('Aug-24 CREDIT MIS'!S:S,"Query- Sales",'Aug-24 CREDIT MIS'!E:E,'Aug Dashboard.'!B94,'Aug-24 CREDIT MIS'!I:I,'Aug Dashboard.'!A94,'Aug-24 CREDIT MIS'!N:N,'Aug Dashboard.'!$A$107)</f>
        <v>0</v>
      </c>
      <c r="P94" s="42">
        <f>SUMIFS('Aug-24 CREDIT MIS'!T:T,'Aug-24 CREDIT MIS'!S:S,"Query- Sales",'Aug-24 CREDIT MIS'!E:E,'Aug Dashboard.'!B94,'Aug-24 CREDIT MIS'!I:I,'Aug Dashboard.'!A94,'Aug-24 CREDIT MIS'!N:N,'Aug Dashboard.'!$A$107)/100000</f>
        <v>0</v>
      </c>
      <c r="Q94" s="42">
        <f>COUNTIFS('Aug-24 CREDIT MIS'!S:S,"WIP- Credit",'Aug-24 CREDIT MIS'!E:E,'Aug Dashboard.'!B94,'Aug-24 CREDIT MIS'!I:I,'Aug Dashboard.'!A94,'Aug-24 CREDIT MIS'!N:N,'Aug Dashboard.'!$A$107)</f>
        <v>1</v>
      </c>
      <c r="R94" s="42">
        <f>SUMIFS('Aug-24 CREDIT MIS'!T:T,'Aug-24 CREDIT MIS'!S:S,"WIP- Credit",'Aug-24 CREDIT MIS'!E:E,'Aug Dashboard.'!B94,'Aug-24 CREDIT MIS'!I:I,'Aug Dashboard.'!A94,'Aug-24 CREDIT MIS'!N:N,'Aug Dashboard.'!$A$107)/100000</f>
        <v>6</v>
      </c>
      <c r="S94" s="42">
        <f>COUNTIFS('Aug-24 CREDIT MIS'!S:S,"Visit Pending",'Aug-24 CREDIT MIS'!E:E,'Aug Dashboard.'!B94,'Aug-24 CREDIT MIS'!I:I,'Aug Dashboard.'!A94,'Aug-24 CREDIT MIS'!N:N,'Aug Dashboard.'!$A$107)</f>
        <v>1</v>
      </c>
      <c r="T94" s="42">
        <f>SUMIFS('Aug-24 CREDIT MIS'!T:T,'Aug-24 CREDIT MIS'!S:S,"Visit Pending",'Aug-24 CREDIT MIS'!E:E,'Aug Dashboard.'!B94,'Aug-24 CREDIT MIS'!I:I,'Aug Dashboard.'!A94,'Aug-24 CREDIT MIS'!N:N,'Aug Dashboard.'!$A$107)/100000</f>
        <v>7</v>
      </c>
    </row>
    <row r="95" spans="1:20" x14ac:dyDescent="0.25">
      <c r="A95" s="46" t="s">
        <v>222</v>
      </c>
      <c r="B95" s="45" t="s">
        <v>4</v>
      </c>
      <c r="C95" s="42">
        <f>COUNTIFS('Aug-24 CREDIT MIS'!C:C,"&lt;01-08-2024",'Aug-24 CREDIT MIS'!E:E,'Aug Dashboard.'!B95,'Aug-24 CREDIT MIS'!I:I,'Aug Dashboard.'!A95,'Aug-24 CREDIT MIS'!N:N,"Ajay Gupta")</f>
        <v>1</v>
      </c>
      <c r="D95" s="42">
        <f>SUMIFS('Aug-24 CREDIT MIS'!T:T,'Aug-24 CREDIT MIS'!C:C,"&lt;01-08-2024",'Aug-24 CREDIT MIS'!E:E,'Aug Dashboard.'!B95,'Aug-24 CREDIT MIS'!I:I,'Aug Dashboard.'!A95,'Aug-24 CREDIT MIS'!N:N,"Ajay Gupta")/100000</f>
        <v>22</v>
      </c>
      <c r="E95" s="42">
        <f>COUNTIFS('Aug-24 CREDIT MIS'!C:C,"&gt;=01-08-2024",'Aug-24 CREDIT MIS'!E:E,'Aug Dashboard.'!B95,'Aug-24 CREDIT MIS'!I:I,'Aug Dashboard.'!A95,'Aug-24 CREDIT MIS'!N:N,"Ajay Gupta")</f>
        <v>4</v>
      </c>
      <c r="F95" s="42">
        <f>SUMIFS('Aug-24 CREDIT MIS'!T:T,'Aug-24 CREDIT MIS'!C:C,"&gt;=01-08-2024",'Aug-24 CREDIT MIS'!E:E,'Aug Dashboard.'!B95,'Aug-24 CREDIT MIS'!I:I,'Aug Dashboard.'!A95,'Aug-24 CREDIT MIS'!N:N,"Ajay Gupta")/100000</f>
        <v>31</v>
      </c>
      <c r="G95" s="42">
        <f t="shared" si="34"/>
        <v>5</v>
      </c>
      <c r="H95" s="42">
        <f t="shared" si="35"/>
        <v>53</v>
      </c>
      <c r="I95" s="42">
        <f>COUNTIFS('Aug-24 CREDIT MIS'!S:S,"Sanction",'Aug-24 CREDIT MIS'!E:E,'Aug Dashboard.'!B95,'Aug-24 CREDIT MIS'!I:I,'Aug Dashboard.'!A95,'Aug-24 CREDIT MIS'!N:N,'Aug Dashboard.'!$A$107)+COUNTIFS('Aug-24 CREDIT MIS'!S:S,"Disbursed",'Aug-24 CREDIT MIS'!E:E,'Aug Dashboard.'!B95,'Aug-24 CREDIT MIS'!I:I,'Aug Dashboard.'!A95,'Aug-24 CREDIT MIS'!N:N,'Aug Dashboard.'!$A$107)</f>
        <v>0</v>
      </c>
      <c r="J95" s="42">
        <f>SUMIFS('Aug-24 CREDIT MIS'!V:V,'Aug-24 CREDIT MIS'!S:S,"Sanction",'Aug-24 CREDIT MIS'!E:E,'Aug Dashboard.'!B95,'Aug-24 CREDIT MIS'!I:I,'Aug Dashboard.'!A95,'Aug-24 CREDIT MIS'!N:N,'Aug Dashboard.'!$A$107)/100000+SUMIFS('Aug-24 CREDIT MIS'!V:V,'Aug-24 CREDIT MIS'!S:S,"Disbursed",'Aug-24 CREDIT MIS'!E:E,'Aug Dashboard.'!B95,'Aug-24 CREDIT MIS'!I:I,'Aug Dashboard.'!A95,'Aug-24 CREDIT MIS'!N:N,'Aug Dashboard.'!$A$107)/100000</f>
        <v>0</v>
      </c>
      <c r="K95" s="42">
        <f>COUNTIFS('Aug-24 CREDIT MIS'!S:S,"Reject",'Aug-24 CREDIT MIS'!E:E,'Aug Dashboard.'!B95,'Aug-24 CREDIT MIS'!I:I,'Aug Dashboard.'!A95,'Aug-24 CREDIT MIS'!N:N,'Aug Dashboard.'!$A$107)</f>
        <v>1</v>
      </c>
      <c r="L95" s="42">
        <f>SUMIFS('Aug-24 CREDIT MIS'!T:T,'Aug-24 CREDIT MIS'!S:S,"Reject",'Aug-24 CREDIT MIS'!E:E,'Aug Dashboard.'!B95,'Aug-24 CREDIT MIS'!I:I,'Aug Dashboard.'!A95,'Aug-24 CREDIT MIS'!N:N,'Aug Dashboard.'!$A$107)/100000</f>
        <v>22</v>
      </c>
      <c r="M95" s="42">
        <f>COUNTIFS('Aug-24 CREDIT MIS'!S:S,"Recommend",'Aug-24 CREDIT MIS'!E:E,'Aug Dashboard.'!B95,'Aug-24 CREDIT MIS'!I:I,'Aug Dashboard.'!A95,'Aug-24 CREDIT MIS'!N:N,'Aug Dashboard.'!$A$107)</f>
        <v>2</v>
      </c>
      <c r="N95" s="42">
        <f>SUMIFS('Aug-24 CREDIT MIS'!T:T,'Aug-24 CREDIT MIS'!S:S,"Recommend",'Aug-24 CREDIT MIS'!E:E,'Aug Dashboard.'!B95,'Aug-24 CREDIT MIS'!I:I,'Aug Dashboard.'!A95,'Aug-24 CREDIT MIS'!N:N,'Aug Dashboard.'!$A$107)/100000</f>
        <v>16</v>
      </c>
      <c r="O95" s="42">
        <f>COUNTIFS('Aug-24 CREDIT MIS'!S:S,"Query- Sales",'Aug-24 CREDIT MIS'!E:E,'Aug Dashboard.'!B95,'Aug-24 CREDIT MIS'!I:I,'Aug Dashboard.'!A95,'Aug-24 CREDIT MIS'!N:N,'Aug Dashboard.'!$A$107)</f>
        <v>0</v>
      </c>
      <c r="P95" s="42">
        <f>SUMIFS('Aug-24 CREDIT MIS'!T:T,'Aug-24 CREDIT MIS'!S:S,"Query- Sales",'Aug-24 CREDIT MIS'!E:E,'Aug Dashboard.'!B95,'Aug-24 CREDIT MIS'!I:I,'Aug Dashboard.'!A95,'Aug-24 CREDIT MIS'!N:N,'Aug Dashboard.'!$A$107)/100000</f>
        <v>0</v>
      </c>
      <c r="Q95" s="42">
        <f>COUNTIFS('Aug-24 CREDIT MIS'!S:S,"WIP- Credit",'Aug-24 CREDIT MIS'!E:E,'Aug Dashboard.'!B95,'Aug-24 CREDIT MIS'!I:I,'Aug Dashboard.'!A95,'Aug-24 CREDIT MIS'!N:N,'Aug Dashboard.'!$A$107)</f>
        <v>1</v>
      </c>
      <c r="R95" s="42">
        <f>SUMIFS('Aug-24 CREDIT MIS'!T:T,'Aug-24 CREDIT MIS'!S:S,"WIP- Credit",'Aug-24 CREDIT MIS'!E:E,'Aug Dashboard.'!B95,'Aug-24 CREDIT MIS'!I:I,'Aug Dashboard.'!A95,'Aug-24 CREDIT MIS'!N:N,'Aug Dashboard.'!$A$107)/100000</f>
        <v>6</v>
      </c>
      <c r="S95" s="42">
        <f>COUNTIFS('Aug-24 CREDIT MIS'!S:S,"Visit Pending",'Aug-24 CREDIT MIS'!E:E,'Aug Dashboard.'!B95,'Aug-24 CREDIT MIS'!I:I,'Aug Dashboard.'!A95,'Aug-24 CREDIT MIS'!N:N,'Aug Dashboard.'!$A$107)</f>
        <v>1</v>
      </c>
      <c r="T95" s="42">
        <f>SUMIFS('Aug-24 CREDIT MIS'!T:T,'Aug-24 CREDIT MIS'!S:S,"Visit Pending",'Aug-24 CREDIT MIS'!E:E,'Aug Dashboard.'!B95,'Aug-24 CREDIT MIS'!I:I,'Aug Dashboard.'!A95,'Aug-24 CREDIT MIS'!N:N,'Aug Dashboard.'!$A$107)/100000</f>
        <v>9</v>
      </c>
    </row>
    <row r="96" spans="1:20" x14ac:dyDescent="0.25">
      <c r="A96" s="46" t="s">
        <v>221</v>
      </c>
      <c r="B96" s="45" t="s">
        <v>4</v>
      </c>
      <c r="C96" s="42">
        <f>COUNTIFS('Aug-24 CREDIT MIS'!C:C,"&lt;01-08-2024",'Aug-24 CREDIT MIS'!E:E,'Aug Dashboard.'!B96,'Aug-24 CREDIT MIS'!I:I,'Aug Dashboard.'!A96,'Aug-24 CREDIT MIS'!N:N,"Ajay Gupta")</f>
        <v>0</v>
      </c>
      <c r="D96" s="42">
        <f>SUMIFS('Aug-24 CREDIT MIS'!T:T,'Aug-24 CREDIT MIS'!C:C,"&lt;01-08-2024",'Aug-24 CREDIT MIS'!E:E,'Aug Dashboard.'!B96,'Aug-24 CREDIT MIS'!I:I,'Aug Dashboard.'!A96,'Aug-24 CREDIT MIS'!N:N,"Ajay Gupta")/100000</f>
        <v>0</v>
      </c>
      <c r="E96" s="42">
        <f>COUNTIFS('Aug-24 CREDIT MIS'!C:C,"&gt;=01-08-2024",'Aug-24 CREDIT MIS'!E:E,'Aug Dashboard.'!B96,'Aug-24 CREDIT MIS'!I:I,'Aug Dashboard.'!A96,'Aug-24 CREDIT MIS'!N:N,"Ajay Gupta")</f>
        <v>2</v>
      </c>
      <c r="F96" s="42">
        <f>SUMIFS('Aug-24 CREDIT MIS'!T:T,'Aug-24 CREDIT MIS'!C:C,"&gt;=01-08-2024",'Aug-24 CREDIT MIS'!E:E,'Aug Dashboard.'!B96,'Aug-24 CREDIT MIS'!I:I,'Aug Dashboard.'!A96,'Aug-24 CREDIT MIS'!N:N,"Ajay Gupta")/100000</f>
        <v>13</v>
      </c>
      <c r="G96" s="42">
        <f t="shared" si="34"/>
        <v>2</v>
      </c>
      <c r="H96" s="42">
        <f t="shared" si="35"/>
        <v>13</v>
      </c>
      <c r="I96" s="42">
        <f>COUNTIFS('Aug-24 CREDIT MIS'!S:S,"Sanction",'Aug-24 CREDIT MIS'!E:E,'Aug Dashboard.'!B96,'Aug-24 CREDIT MIS'!I:I,'Aug Dashboard.'!A96,'Aug-24 CREDIT MIS'!N:N,'Aug Dashboard.'!$A$107)+COUNTIFS('Aug-24 CREDIT MIS'!S:S,"Disbursed",'Aug-24 CREDIT MIS'!E:E,'Aug Dashboard.'!B96,'Aug-24 CREDIT MIS'!I:I,'Aug Dashboard.'!A96,'Aug-24 CREDIT MIS'!N:N,'Aug Dashboard.'!$A$107)</f>
        <v>0</v>
      </c>
      <c r="J96" s="42">
        <f>SUMIFS('Aug-24 CREDIT MIS'!V:V,'Aug-24 CREDIT MIS'!S:S,"Sanction",'Aug-24 CREDIT MIS'!E:E,'Aug Dashboard.'!B96,'Aug-24 CREDIT MIS'!I:I,'Aug Dashboard.'!A96,'Aug-24 CREDIT MIS'!N:N,'Aug Dashboard.'!$A$107)/100000+SUMIFS('Aug-24 CREDIT MIS'!V:V,'Aug-24 CREDIT MIS'!S:S,"Disbursed",'Aug-24 CREDIT MIS'!E:E,'Aug Dashboard.'!B96,'Aug-24 CREDIT MIS'!I:I,'Aug Dashboard.'!A96,'Aug-24 CREDIT MIS'!N:N,'Aug Dashboard.'!$A$107)/100000</f>
        <v>0</v>
      </c>
      <c r="K96" s="42">
        <f>COUNTIFS('Aug-24 CREDIT MIS'!S:S,"Reject",'Aug-24 CREDIT MIS'!E:E,'Aug Dashboard.'!B96,'Aug-24 CREDIT MIS'!I:I,'Aug Dashboard.'!A96,'Aug-24 CREDIT MIS'!N:N,'Aug Dashboard.'!$A$107)</f>
        <v>0</v>
      </c>
      <c r="L96" s="42">
        <f>SUMIFS('Aug-24 CREDIT MIS'!T:T,'Aug-24 CREDIT MIS'!S:S,"Reject",'Aug-24 CREDIT MIS'!E:E,'Aug Dashboard.'!B96,'Aug-24 CREDIT MIS'!I:I,'Aug Dashboard.'!A96,'Aug-24 CREDIT MIS'!N:N,'Aug Dashboard.'!$A$107)/100000</f>
        <v>0</v>
      </c>
      <c r="M96" s="42">
        <f>COUNTIFS('Aug-24 CREDIT MIS'!S:S,"Recommend",'Aug-24 CREDIT MIS'!E:E,'Aug Dashboard.'!B96,'Aug-24 CREDIT MIS'!I:I,'Aug Dashboard.'!A96,'Aug-24 CREDIT MIS'!N:N,'Aug Dashboard.'!$A$107)</f>
        <v>1</v>
      </c>
      <c r="N96" s="42">
        <f>SUMIFS('Aug-24 CREDIT MIS'!T:T,'Aug-24 CREDIT MIS'!S:S,"Recommend",'Aug-24 CREDIT MIS'!E:E,'Aug Dashboard.'!B96,'Aug-24 CREDIT MIS'!I:I,'Aug Dashboard.'!A96,'Aug-24 CREDIT MIS'!N:N,'Aug Dashboard.'!$A$107)/100000</f>
        <v>7</v>
      </c>
      <c r="O96" s="42">
        <f>COUNTIFS('Aug-24 CREDIT MIS'!S:S,"Query- Sales",'Aug-24 CREDIT MIS'!E:E,'Aug Dashboard.'!B96,'Aug-24 CREDIT MIS'!I:I,'Aug Dashboard.'!A96,'Aug-24 CREDIT MIS'!N:N,'Aug Dashboard.'!$A$107)</f>
        <v>0</v>
      </c>
      <c r="P96" s="42">
        <f>SUMIFS('Aug-24 CREDIT MIS'!T:T,'Aug-24 CREDIT MIS'!S:S,"Query- Sales",'Aug-24 CREDIT MIS'!E:E,'Aug Dashboard.'!B96,'Aug-24 CREDIT MIS'!I:I,'Aug Dashboard.'!A96,'Aug-24 CREDIT MIS'!N:N,'Aug Dashboard.'!$A$107)/100000</f>
        <v>0</v>
      </c>
      <c r="Q96" s="42">
        <f>COUNTIFS('Aug-24 CREDIT MIS'!S:S,"WIP- Credit",'Aug-24 CREDIT MIS'!E:E,'Aug Dashboard.'!B96,'Aug-24 CREDIT MIS'!I:I,'Aug Dashboard.'!A96,'Aug-24 CREDIT MIS'!N:N,'Aug Dashboard.'!$A$107)</f>
        <v>1</v>
      </c>
      <c r="R96" s="42">
        <f>SUMIFS('Aug-24 CREDIT MIS'!T:T,'Aug-24 CREDIT MIS'!S:S,"WIP- Credit",'Aug-24 CREDIT MIS'!E:E,'Aug Dashboard.'!B96,'Aug-24 CREDIT MIS'!I:I,'Aug Dashboard.'!A96,'Aug-24 CREDIT MIS'!N:N,'Aug Dashboard.'!$A$107)/100000</f>
        <v>6</v>
      </c>
      <c r="S96" s="42">
        <f>COUNTIFS('Aug-24 CREDIT MIS'!S:S,"Visit Pending",'Aug-24 CREDIT MIS'!E:E,'Aug Dashboard.'!B96,'Aug-24 CREDIT MIS'!I:I,'Aug Dashboard.'!A96,'Aug-24 CREDIT MIS'!N:N,'Aug Dashboard.'!$A$107)</f>
        <v>0</v>
      </c>
      <c r="T96" s="42">
        <f>SUMIFS('Aug-24 CREDIT MIS'!T:T,'Aug-24 CREDIT MIS'!S:S,"Visit Pending",'Aug-24 CREDIT MIS'!E:E,'Aug Dashboard.'!B96,'Aug-24 CREDIT MIS'!I:I,'Aug Dashboard.'!A96,'Aug-24 CREDIT MIS'!N:N,'Aug Dashboard.'!$A$107)/100000</f>
        <v>0</v>
      </c>
    </row>
    <row r="97" spans="1:20" x14ac:dyDescent="0.25">
      <c r="A97" s="16" t="s">
        <v>220</v>
      </c>
      <c r="B97" s="45" t="s">
        <v>11</v>
      </c>
      <c r="C97" s="42">
        <f>COUNTIFS('Aug-24 CREDIT MIS'!C:C,"&lt;01-08-2024",'Aug-24 CREDIT MIS'!E:E,'Aug Dashboard.'!B97,'Aug-24 CREDIT MIS'!I:I,'Aug Dashboard.'!A97,'Aug-24 CREDIT MIS'!N:N,"Ajay Gupta")</f>
        <v>0</v>
      </c>
      <c r="D97" s="42">
        <f>SUMIFS('Aug-24 CREDIT MIS'!T:T,'Aug-24 CREDIT MIS'!C:C,"&lt;01-08-2024",'Aug-24 CREDIT MIS'!E:E,'Aug Dashboard.'!B97,'Aug-24 CREDIT MIS'!I:I,'Aug Dashboard.'!A97,'Aug-24 CREDIT MIS'!N:N,"Ajay Gupta")/100000</f>
        <v>0</v>
      </c>
      <c r="E97" s="42">
        <f>COUNTIFS('Aug-24 CREDIT MIS'!C:C,"&gt;=01-08-2024",'Aug-24 CREDIT MIS'!E:E,'Aug Dashboard.'!B97,'Aug-24 CREDIT MIS'!I:I,'Aug Dashboard.'!A97,'Aug-24 CREDIT MIS'!N:N,"Ajay Gupta")</f>
        <v>0</v>
      </c>
      <c r="F97" s="42">
        <f>SUMIFS('Aug-24 CREDIT MIS'!T:T,'Aug-24 CREDIT MIS'!C:C,"&gt;=01-08-2024",'Aug-24 CREDIT MIS'!E:E,'Aug Dashboard.'!B97,'Aug-24 CREDIT MIS'!I:I,'Aug Dashboard.'!A97,'Aug-24 CREDIT MIS'!N:N,"Ajay Gupta")/100000</f>
        <v>0</v>
      </c>
      <c r="G97" s="42">
        <f t="shared" si="34"/>
        <v>0</v>
      </c>
      <c r="H97" s="42">
        <f t="shared" si="35"/>
        <v>0</v>
      </c>
      <c r="I97" s="42">
        <f>COUNTIFS('Aug-24 CREDIT MIS'!S:S,"Sanction",'Aug-24 CREDIT MIS'!E:E,'Aug Dashboard.'!B97,'Aug-24 CREDIT MIS'!I:I,'Aug Dashboard.'!A97,'Aug-24 CREDIT MIS'!N:N,'Aug Dashboard.'!$A$107)+COUNTIFS('Aug-24 CREDIT MIS'!S:S,"Disbursed",'Aug-24 CREDIT MIS'!E:E,'Aug Dashboard.'!B97,'Aug-24 CREDIT MIS'!I:I,'Aug Dashboard.'!A97,'Aug-24 CREDIT MIS'!N:N,'Aug Dashboard.'!$A$107)</f>
        <v>0</v>
      </c>
      <c r="J97" s="42">
        <f>SUMIFS('Aug-24 CREDIT MIS'!V:V,'Aug-24 CREDIT MIS'!S:S,"Sanction",'Aug-24 CREDIT MIS'!E:E,'Aug Dashboard.'!B97,'Aug-24 CREDIT MIS'!I:I,'Aug Dashboard.'!A97,'Aug-24 CREDIT MIS'!N:N,'Aug Dashboard.'!$A$107)/100000+SUMIFS('Aug-24 CREDIT MIS'!V:V,'Aug-24 CREDIT MIS'!S:S,"Disbursed",'Aug-24 CREDIT MIS'!E:E,'Aug Dashboard.'!B97,'Aug-24 CREDIT MIS'!I:I,'Aug Dashboard.'!A97,'Aug-24 CREDIT MIS'!N:N,'Aug Dashboard.'!$A$107)/100000</f>
        <v>0</v>
      </c>
      <c r="K97" s="42">
        <f>COUNTIFS('Aug-24 CREDIT MIS'!S:S,"Reject",'Aug-24 CREDIT MIS'!E:E,'Aug Dashboard.'!B97,'Aug-24 CREDIT MIS'!I:I,'Aug Dashboard.'!A97,'Aug-24 CREDIT MIS'!N:N,'Aug Dashboard.'!$A$107)</f>
        <v>0</v>
      </c>
      <c r="L97" s="42">
        <f>SUMIFS('Aug-24 CREDIT MIS'!T:T,'Aug-24 CREDIT MIS'!S:S,"Reject",'Aug-24 CREDIT MIS'!E:E,'Aug Dashboard.'!B97,'Aug-24 CREDIT MIS'!I:I,'Aug Dashboard.'!A97,'Aug-24 CREDIT MIS'!N:N,'Aug Dashboard.'!$A$107)/100000</f>
        <v>0</v>
      </c>
      <c r="M97" s="42">
        <f>COUNTIFS('Aug-24 CREDIT MIS'!S:S,"Recommend",'Aug-24 CREDIT MIS'!E:E,'Aug Dashboard.'!B97,'Aug-24 CREDIT MIS'!I:I,'Aug Dashboard.'!A97,'Aug-24 CREDIT MIS'!N:N,'Aug Dashboard.'!$A$107)</f>
        <v>0</v>
      </c>
      <c r="N97" s="42">
        <f>SUMIFS('Aug-24 CREDIT MIS'!T:T,'Aug-24 CREDIT MIS'!S:S,"Recommend",'Aug-24 CREDIT MIS'!E:E,'Aug Dashboard.'!B97,'Aug-24 CREDIT MIS'!I:I,'Aug Dashboard.'!A97,'Aug-24 CREDIT MIS'!N:N,'Aug Dashboard.'!$A$107)/100000</f>
        <v>0</v>
      </c>
      <c r="O97" s="42">
        <f>COUNTIFS('Aug-24 CREDIT MIS'!S:S,"Query- Sales",'Aug-24 CREDIT MIS'!E:E,'Aug Dashboard.'!B97,'Aug-24 CREDIT MIS'!I:I,'Aug Dashboard.'!A97,'Aug-24 CREDIT MIS'!N:N,'Aug Dashboard.'!$A$107)</f>
        <v>0</v>
      </c>
      <c r="P97" s="42">
        <f>SUMIFS('Aug-24 CREDIT MIS'!T:T,'Aug-24 CREDIT MIS'!S:S,"Query- Sales",'Aug-24 CREDIT MIS'!E:E,'Aug Dashboard.'!B97,'Aug-24 CREDIT MIS'!I:I,'Aug Dashboard.'!A97,'Aug-24 CREDIT MIS'!N:N,'Aug Dashboard.'!$A$107)/100000</f>
        <v>0</v>
      </c>
      <c r="Q97" s="42">
        <f>COUNTIFS('Aug-24 CREDIT MIS'!S:S,"WIP- Credit",'Aug-24 CREDIT MIS'!E:E,'Aug Dashboard.'!B97,'Aug-24 CREDIT MIS'!I:I,'Aug Dashboard.'!A97,'Aug-24 CREDIT MIS'!N:N,'Aug Dashboard.'!$A$107)</f>
        <v>0</v>
      </c>
      <c r="R97" s="42">
        <f>SUMIFS('Aug-24 CREDIT MIS'!T:T,'Aug-24 CREDIT MIS'!S:S,"WIP- Credit",'Aug-24 CREDIT MIS'!E:E,'Aug Dashboard.'!B97,'Aug-24 CREDIT MIS'!I:I,'Aug Dashboard.'!A97,'Aug-24 CREDIT MIS'!N:N,'Aug Dashboard.'!$A$107)/100000</f>
        <v>0</v>
      </c>
      <c r="S97" s="42">
        <f>COUNTIFS('Aug-24 CREDIT MIS'!S:S,"Visit Pending",'Aug-24 CREDIT MIS'!E:E,'Aug Dashboard.'!B97,'Aug-24 CREDIT MIS'!I:I,'Aug Dashboard.'!A97,'Aug-24 CREDIT MIS'!N:N,'Aug Dashboard.'!$A$107)</f>
        <v>0</v>
      </c>
      <c r="T97" s="42">
        <f>SUMIFS('Aug-24 CREDIT MIS'!T:T,'Aug-24 CREDIT MIS'!S:S,"Visit Pending",'Aug-24 CREDIT MIS'!E:E,'Aug Dashboard.'!B97,'Aug-24 CREDIT MIS'!I:I,'Aug Dashboard.'!A97,'Aug-24 CREDIT MIS'!N:N,'Aug Dashboard.'!$A$107)/100000</f>
        <v>0</v>
      </c>
    </row>
    <row r="98" spans="1:20" x14ac:dyDescent="0.25">
      <c r="A98" s="68" t="s">
        <v>219</v>
      </c>
      <c r="B98" s="45" t="s">
        <v>4</v>
      </c>
      <c r="C98" s="42">
        <f>COUNTIFS('Aug-24 CREDIT MIS'!C:C,"&lt;01-08-2024",'Aug-24 CREDIT MIS'!E:E,'Aug Dashboard.'!B98,'Aug-24 CREDIT MIS'!I:I,'Aug Dashboard.'!A98,'Aug-24 CREDIT MIS'!N:N,"Ajay Gupta")</f>
        <v>0</v>
      </c>
      <c r="D98" s="42">
        <f>SUMIFS('Aug-24 CREDIT MIS'!T:T,'Aug-24 CREDIT MIS'!C:C,"&lt;01-08-2024",'Aug-24 CREDIT MIS'!E:E,'Aug Dashboard.'!B98,'Aug-24 CREDIT MIS'!I:I,'Aug Dashboard.'!A98,'Aug-24 CREDIT MIS'!N:N,"Ajay Gupta")/100000</f>
        <v>0</v>
      </c>
      <c r="E98" s="42">
        <f>COUNTIFS('Aug-24 CREDIT MIS'!C:C,"&gt;=01-08-2024",'Aug-24 CREDIT MIS'!E:E,'Aug Dashboard.'!B98,'Aug-24 CREDIT MIS'!I:I,'Aug Dashboard.'!A98,'Aug-24 CREDIT MIS'!N:N,"Ajay Gupta")</f>
        <v>0</v>
      </c>
      <c r="F98" s="42">
        <f>SUMIFS('Aug-24 CREDIT MIS'!T:T,'Aug-24 CREDIT MIS'!C:C,"&gt;=01-08-2024",'Aug-24 CREDIT MIS'!E:E,'Aug Dashboard.'!B98,'Aug-24 CREDIT MIS'!I:I,'Aug Dashboard.'!A98,'Aug-24 CREDIT MIS'!N:N,"Ajay Gupta")/100000</f>
        <v>0</v>
      </c>
      <c r="G98" s="42">
        <f t="shared" si="34"/>
        <v>0</v>
      </c>
      <c r="H98" s="42">
        <f t="shared" si="35"/>
        <v>0</v>
      </c>
      <c r="I98" s="42">
        <f>COUNTIFS('Aug-24 CREDIT MIS'!S:S,"Sanction",'Aug-24 CREDIT MIS'!E:E,'Aug Dashboard.'!B98,'Aug-24 CREDIT MIS'!I:I,'Aug Dashboard.'!A98,'Aug-24 CREDIT MIS'!N:N,'Aug Dashboard.'!$A$107)+COUNTIFS('Aug-24 CREDIT MIS'!S:S,"Disbursed",'Aug-24 CREDIT MIS'!E:E,'Aug Dashboard.'!B98,'Aug-24 CREDIT MIS'!I:I,'Aug Dashboard.'!A98,'Aug-24 CREDIT MIS'!N:N,'Aug Dashboard.'!$A$107)</f>
        <v>0</v>
      </c>
      <c r="J98" s="42">
        <f>SUMIFS('Aug-24 CREDIT MIS'!V:V,'Aug-24 CREDIT MIS'!S:S,"Sanction",'Aug-24 CREDIT MIS'!E:E,'Aug Dashboard.'!B98,'Aug-24 CREDIT MIS'!I:I,'Aug Dashboard.'!A98,'Aug-24 CREDIT MIS'!N:N,'Aug Dashboard.'!$A$107)/100000+SUMIFS('Aug-24 CREDIT MIS'!V:V,'Aug-24 CREDIT MIS'!S:S,"Disbursed",'Aug-24 CREDIT MIS'!E:E,'Aug Dashboard.'!B98,'Aug-24 CREDIT MIS'!I:I,'Aug Dashboard.'!A98,'Aug-24 CREDIT MIS'!N:N,'Aug Dashboard.'!$A$107)/100000</f>
        <v>0</v>
      </c>
      <c r="K98" s="42">
        <f>COUNTIFS('Aug-24 CREDIT MIS'!S:S,"Reject",'Aug-24 CREDIT MIS'!E:E,'Aug Dashboard.'!B98,'Aug-24 CREDIT MIS'!I:I,'Aug Dashboard.'!A98,'Aug-24 CREDIT MIS'!N:N,'Aug Dashboard.'!$A$107)</f>
        <v>0</v>
      </c>
      <c r="L98" s="42">
        <f>SUMIFS('Aug-24 CREDIT MIS'!T:T,'Aug-24 CREDIT MIS'!S:S,"Reject",'Aug-24 CREDIT MIS'!E:E,'Aug Dashboard.'!B98,'Aug-24 CREDIT MIS'!I:I,'Aug Dashboard.'!A98,'Aug-24 CREDIT MIS'!N:N,'Aug Dashboard.'!$A$107)/100000</f>
        <v>0</v>
      </c>
      <c r="M98" s="42">
        <f>COUNTIFS('Aug-24 CREDIT MIS'!S:S,"Recommend",'Aug-24 CREDIT MIS'!E:E,'Aug Dashboard.'!B98,'Aug-24 CREDIT MIS'!I:I,'Aug Dashboard.'!A98,'Aug-24 CREDIT MIS'!N:N,'Aug Dashboard.'!$A$107)</f>
        <v>0</v>
      </c>
      <c r="N98" s="42">
        <f>SUMIFS('Aug-24 CREDIT MIS'!T:T,'Aug-24 CREDIT MIS'!S:S,"Recommend",'Aug-24 CREDIT MIS'!E:E,'Aug Dashboard.'!B98,'Aug-24 CREDIT MIS'!I:I,'Aug Dashboard.'!A98,'Aug-24 CREDIT MIS'!N:N,'Aug Dashboard.'!$A$107)/100000</f>
        <v>0</v>
      </c>
      <c r="O98" s="42">
        <f>COUNTIFS('Aug-24 CREDIT MIS'!S:S,"Query- Sales",'Aug-24 CREDIT MIS'!E:E,'Aug Dashboard.'!B98,'Aug-24 CREDIT MIS'!I:I,'Aug Dashboard.'!A98,'Aug-24 CREDIT MIS'!N:N,'Aug Dashboard.'!$A$107)</f>
        <v>0</v>
      </c>
      <c r="P98" s="42">
        <f>SUMIFS('Aug-24 CREDIT MIS'!T:T,'Aug-24 CREDIT MIS'!S:S,"Query- Sales",'Aug-24 CREDIT MIS'!E:E,'Aug Dashboard.'!B98,'Aug-24 CREDIT MIS'!I:I,'Aug Dashboard.'!A98,'Aug-24 CREDIT MIS'!N:N,'Aug Dashboard.'!$A$107)/100000</f>
        <v>0</v>
      </c>
      <c r="Q98" s="42">
        <f>COUNTIFS('Aug-24 CREDIT MIS'!S:S,"WIP- Credit",'Aug-24 CREDIT MIS'!E:E,'Aug Dashboard.'!B98,'Aug-24 CREDIT MIS'!I:I,'Aug Dashboard.'!A98,'Aug-24 CREDIT MIS'!N:N,'Aug Dashboard.'!$A$107)</f>
        <v>0</v>
      </c>
      <c r="R98" s="42">
        <f>SUMIFS('Aug-24 CREDIT MIS'!T:T,'Aug-24 CREDIT MIS'!S:S,"WIP- Credit",'Aug-24 CREDIT MIS'!E:E,'Aug Dashboard.'!B98,'Aug-24 CREDIT MIS'!I:I,'Aug Dashboard.'!A98,'Aug-24 CREDIT MIS'!N:N,'Aug Dashboard.'!$A$107)/100000</f>
        <v>0</v>
      </c>
      <c r="S98" s="42">
        <f>COUNTIFS('Aug-24 CREDIT MIS'!S:S,"Visit Pending",'Aug-24 CREDIT MIS'!E:E,'Aug Dashboard.'!B98,'Aug-24 CREDIT MIS'!I:I,'Aug Dashboard.'!A98,'Aug-24 CREDIT MIS'!N:N,'Aug Dashboard.'!$A$107)</f>
        <v>0</v>
      </c>
      <c r="T98" s="42">
        <f>SUMIFS('Aug-24 CREDIT MIS'!T:T,'Aug-24 CREDIT MIS'!S:S,"Visit Pending",'Aug-24 CREDIT MIS'!E:E,'Aug Dashboard.'!B98,'Aug-24 CREDIT MIS'!I:I,'Aug Dashboard.'!A98,'Aug-24 CREDIT MIS'!N:N,'Aug Dashboard.'!$A$107)/100000</f>
        <v>0</v>
      </c>
    </row>
    <row r="99" spans="1:20" x14ac:dyDescent="0.25">
      <c r="A99" s="68" t="s">
        <v>218</v>
      </c>
      <c r="B99" s="45" t="s">
        <v>4</v>
      </c>
      <c r="C99" s="42">
        <f>COUNTIFS('Aug-24 CREDIT MIS'!C:C,"&lt;01-08-2024",'Aug-24 CREDIT MIS'!E:E,'Aug Dashboard.'!B99,'Aug-24 CREDIT MIS'!I:I,'Aug Dashboard.'!A99,'Aug-24 CREDIT MIS'!N:N,"Ajay Gupta")</f>
        <v>0</v>
      </c>
      <c r="D99" s="42">
        <f>SUMIFS('Aug-24 CREDIT MIS'!T:T,'Aug-24 CREDIT MIS'!C:C,"&lt;01-08-2024",'Aug-24 CREDIT MIS'!E:E,'Aug Dashboard.'!B99,'Aug-24 CREDIT MIS'!I:I,'Aug Dashboard.'!A99,'Aug-24 CREDIT MIS'!N:N,"Ajay Gupta")/100000</f>
        <v>0</v>
      </c>
      <c r="E99" s="42">
        <f>COUNTIFS('Aug-24 CREDIT MIS'!C:C,"&gt;=01-08-2024",'Aug-24 CREDIT MIS'!E:E,'Aug Dashboard.'!B99,'Aug-24 CREDIT MIS'!I:I,'Aug Dashboard.'!A99,'Aug-24 CREDIT MIS'!N:N,"Ajay Gupta")</f>
        <v>0</v>
      </c>
      <c r="F99" s="42">
        <f>SUMIFS('Aug-24 CREDIT MIS'!T:T,'Aug-24 CREDIT MIS'!C:C,"&gt;=01-08-2024",'Aug-24 CREDIT MIS'!E:E,'Aug Dashboard.'!B99,'Aug-24 CREDIT MIS'!I:I,'Aug Dashboard.'!A99,'Aug-24 CREDIT MIS'!N:N,"Ajay Gupta")/100000</f>
        <v>0</v>
      </c>
      <c r="G99" s="42">
        <f t="shared" si="34"/>
        <v>0</v>
      </c>
      <c r="H99" s="42">
        <f t="shared" si="35"/>
        <v>0</v>
      </c>
      <c r="I99" s="42">
        <f>COUNTIFS('Aug-24 CREDIT MIS'!S:S,"Sanction",'Aug-24 CREDIT MIS'!E:E,'Aug Dashboard.'!B99,'Aug-24 CREDIT MIS'!I:I,'Aug Dashboard.'!A99,'Aug-24 CREDIT MIS'!N:N,'Aug Dashboard.'!$A$107)+COUNTIFS('Aug-24 CREDIT MIS'!S:S,"Disbursed",'Aug-24 CREDIT MIS'!E:E,'Aug Dashboard.'!B99,'Aug-24 CREDIT MIS'!I:I,'Aug Dashboard.'!A99,'Aug-24 CREDIT MIS'!N:N,'Aug Dashboard.'!$A$107)</f>
        <v>0</v>
      </c>
      <c r="J99" s="42">
        <f>SUMIFS('Aug-24 CREDIT MIS'!V:V,'Aug-24 CREDIT MIS'!S:S,"Sanction",'Aug-24 CREDIT MIS'!E:E,'Aug Dashboard.'!B99,'Aug-24 CREDIT MIS'!I:I,'Aug Dashboard.'!A99,'Aug-24 CREDIT MIS'!N:N,'Aug Dashboard.'!$A$107)/100000+SUMIFS('Aug-24 CREDIT MIS'!V:V,'Aug-24 CREDIT MIS'!S:S,"Disbursed",'Aug-24 CREDIT MIS'!E:E,'Aug Dashboard.'!B99,'Aug-24 CREDIT MIS'!I:I,'Aug Dashboard.'!A99,'Aug-24 CREDIT MIS'!N:N,'Aug Dashboard.'!$A$107)/100000</f>
        <v>0</v>
      </c>
      <c r="K99" s="42">
        <f>COUNTIFS('Aug-24 CREDIT MIS'!S:S,"Reject",'Aug-24 CREDIT MIS'!E:E,'Aug Dashboard.'!B99,'Aug-24 CREDIT MIS'!I:I,'Aug Dashboard.'!A99,'Aug-24 CREDIT MIS'!N:N,'Aug Dashboard.'!$A$107)</f>
        <v>0</v>
      </c>
      <c r="L99" s="42">
        <f>SUMIFS('Aug-24 CREDIT MIS'!T:T,'Aug-24 CREDIT MIS'!S:S,"Reject",'Aug-24 CREDIT MIS'!E:E,'Aug Dashboard.'!B99,'Aug-24 CREDIT MIS'!I:I,'Aug Dashboard.'!A99,'Aug-24 CREDIT MIS'!N:N,'Aug Dashboard.'!$A$107)/100000</f>
        <v>0</v>
      </c>
      <c r="M99" s="42">
        <f>COUNTIFS('Aug-24 CREDIT MIS'!S:S,"Recommend",'Aug-24 CREDIT MIS'!E:E,'Aug Dashboard.'!B99,'Aug-24 CREDIT MIS'!I:I,'Aug Dashboard.'!A99,'Aug-24 CREDIT MIS'!N:N,'Aug Dashboard.'!$A$107)</f>
        <v>0</v>
      </c>
      <c r="N99" s="42">
        <f>SUMIFS('Aug-24 CREDIT MIS'!T:T,'Aug-24 CREDIT MIS'!S:S,"Recommend",'Aug-24 CREDIT MIS'!E:E,'Aug Dashboard.'!B99,'Aug-24 CREDIT MIS'!I:I,'Aug Dashboard.'!A99,'Aug-24 CREDIT MIS'!N:N,'Aug Dashboard.'!$A$107)/100000</f>
        <v>0</v>
      </c>
      <c r="O99" s="42">
        <f>COUNTIFS('Aug-24 CREDIT MIS'!S:S,"Query- Sales",'Aug-24 CREDIT MIS'!E:E,'Aug Dashboard.'!B99,'Aug-24 CREDIT MIS'!I:I,'Aug Dashboard.'!A99,'Aug-24 CREDIT MIS'!N:N,'Aug Dashboard.'!$A$107)</f>
        <v>0</v>
      </c>
      <c r="P99" s="42">
        <f>SUMIFS('Aug-24 CREDIT MIS'!T:T,'Aug-24 CREDIT MIS'!S:S,"Query- Sales",'Aug-24 CREDIT MIS'!E:E,'Aug Dashboard.'!B99,'Aug-24 CREDIT MIS'!I:I,'Aug Dashboard.'!A99,'Aug-24 CREDIT MIS'!N:N,'Aug Dashboard.'!$A$107)/100000</f>
        <v>0</v>
      </c>
      <c r="Q99" s="42">
        <f>COUNTIFS('Aug-24 CREDIT MIS'!S:S,"WIP- Credit",'Aug-24 CREDIT MIS'!E:E,'Aug Dashboard.'!B99,'Aug-24 CREDIT MIS'!I:I,'Aug Dashboard.'!A99,'Aug-24 CREDIT MIS'!N:N,'Aug Dashboard.'!$A$107)</f>
        <v>0</v>
      </c>
      <c r="R99" s="42">
        <f>SUMIFS('Aug-24 CREDIT MIS'!T:T,'Aug-24 CREDIT MIS'!S:S,"WIP- Credit",'Aug-24 CREDIT MIS'!E:E,'Aug Dashboard.'!B99,'Aug-24 CREDIT MIS'!I:I,'Aug Dashboard.'!A99,'Aug-24 CREDIT MIS'!N:N,'Aug Dashboard.'!$A$107)/100000</f>
        <v>0</v>
      </c>
      <c r="S99" s="42">
        <f>COUNTIFS('Aug-24 CREDIT MIS'!S:S,"Visit Pending",'Aug-24 CREDIT MIS'!E:E,'Aug Dashboard.'!B99,'Aug-24 CREDIT MIS'!I:I,'Aug Dashboard.'!A99,'Aug-24 CREDIT MIS'!N:N,'Aug Dashboard.'!$A$107)</f>
        <v>0</v>
      </c>
      <c r="T99" s="42">
        <f>SUMIFS('Aug-24 CREDIT MIS'!T:T,'Aug-24 CREDIT MIS'!S:S,"Visit Pending",'Aug-24 CREDIT MIS'!E:E,'Aug Dashboard.'!B99,'Aug-24 CREDIT MIS'!I:I,'Aug Dashboard.'!A99,'Aug-24 CREDIT MIS'!N:N,'Aug Dashboard.'!$A$107)/100000</f>
        <v>0</v>
      </c>
    </row>
    <row r="100" spans="1:20" ht="15.75" x14ac:dyDescent="0.25">
      <c r="A100" s="147" t="s">
        <v>511</v>
      </c>
      <c r="B100" s="45" t="s">
        <v>478</v>
      </c>
      <c r="C100" s="42">
        <f>COUNTIFS('Aug-24 CREDIT MIS'!C:C,"&lt;01-08-2024",'Aug-24 CREDIT MIS'!E:E,'Aug Dashboard.'!B100,'Aug-24 CREDIT MIS'!I:I,'Aug Dashboard.'!A100,'Aug-24 CREDIT MIS'!N:N,"Ajay Gupta")</f>
        <v>0</v>
      </c>
      <c r="D100" s="42">
        <f>SUMIFS('Aug-24 CREDIT MIS'!T:T,'Aug-24 CREDIT MIS'!C:C,"&lt;01-08-2024",'Aug-24 CREDIT MIS'!E:E,'Aug Dashboard.'!B100,'Aug-24 CREDIT MIS'!I:I,'Aug Dashboard.'!A100,'Aug-24 CREDIT MIS'!N:N,"Ajay Gupta")/100000</f>
        <v>0</v>
      </c>
      <c r="E100" s="42">
        <f>COUNTIFS('Aug-24 CREDIT MIS'!C:C,"&gt;=01-08-2024",'Aug-24 CREDIT MIS'!E:E,'Aug Dashboard.'!B100,'Aug-24 CREDIT MIS'!I:I,'Aug Dashboard.'!A100,'Aug-24 CREDIT MIS'!N:N,"Ajay Gupta")</f>
        <v>2</v>
      </c>
      <c r="F100" s="42">
        <f>SUMIFS('Aug-24 CREDIT MIS'!T:T,'Aug-24 CREDIT MIS'!C:C,"&gt;=01-08-2024",'Aug-24 CREDIT MIS'!E:E,'Aug Dashboard.'!B100,'Aug-24 CREDIT MIS'!I:I,'Aug Dashboard.'!A100,'Aug-24 CREDIT MIS'!N:N,"Ajay Gupta")/100000</f>
        <v>11</v>
      </c>
      <c r="G100" s="42">
        <f t="shared" ref="G100" si="36">E100+C100</f>
        <v>2</v>
      </c>
      <c r="H100" s="42">
        <f t="shared" ref="H100" si="37">F100+D100</f>
        <v>11</v>
      </c>
      <c r="I100" s="42">
        <f>COUNTIFS('Aug-24 CREDIT MIS'!S:S,"Sanction",'Aug-24 CREDIT MIS'!E:E,'Aug Dashboard.'!B100,'Aug-24 CREDIT MIS'!I:I,'Aug Dashboard.'!A100,'Aug-24 CREDIT MIS'!N:N,'Aug Dashboard.'!$A$107)+COUNTIFS('Aug-24 CREDIT MIS'!S:S,"Disbursed",'Aug-24 CREDIT MIS'!E:E,'Aug Dashboard.'!B100,'Aug-24 CREDIT MIS'!I:I,'Aug Dashboard.'!A100,'Aug-24 CREDIT MIS'!N:N,'Aug Dashboard.'!$A$107)</f>
        <v>0</v>
      </c>
      <c r="J100" s="42">
        <f>SUMIFS('Aug-24 CREDIT MIS'!V:V,'Aug-24 CREDIT MIS'!S:S,"Sanction",'Aug-24 CREDIT MIS'!E:E,'Aug Dashboard.'!B100,'Aug-24 CREDIT MIS'!I:I,'Aug Dashboard.'!A100,'Aug-24 CREDIT MIS'!N:N,'Aug Dashboard.'!$A$107)/100000+SUMIFS('Aug-24 CREDIT MIS'!V:V,'Aug-24 CREDIT MIS'!S:S,"Disbursed",'Aug-24 CREDIT MIS'!E:E,'Aug Dashboard.'!B100,'Aug-24 CREDIT MIS'!I:I,'Aug Dashboard.'!A100,'Aug-24 CREDIT MIS'!N:N,'Aug Dashboard.'!$A$107)/100000</f>
        <v>0</v>
      </c>
      <c r="K100" s="42">
        <f>COUNTIFS('Aug-24 CREDIT MIS'!S:S,"Reject",'Aug-24 CREDIT MIS'!E:E,'Aug Dashboard.'!B100,'Aug-24 CREDIT MIS'!I:I,'Aug Dashboard.'!A100,'Aug-24 CREDIT MIS'!N:N,'Aug Dashboard.'!$A$107)</f>
        <v>0</v>
      </c>
      <c r="L100" s="42">
        <f>SUMIFS('Aug-24 CREDIT MIS'!T:T,'Aug-24 CREDIT MIS'!S:S,"Reject",'Aug-24 CREDIT MIS'!E:E,'Aug Dashboard.'!B100,'Aug-24 CREDIT MIS'!I:I,'Aug Dashboard.'!A100,'Aug-24 CREDIT MIS'!N:N,'Aug Dashboard.'!$A$107)/100000</f>
        <v>0</v>
      </c>
      <c r="M100" s="42">
        <f>COUNTIFS('Aug-24 CREDIT MIS'!S:S,"Recommend",'Aug-24 CREDIT MIS'!E:E,'Aug Dashboard.'!B100,'Aug-24 CREDIT MIS'!I:I,'Aug Dashboard.'!A100,'Aug-24 CREDIT MIS'!N:N,'Aug Dashboard.'!$A$107)</f>
        <v>0</v>
      </c>
      <c r="N100" s="42">
        <f>SUMIFS('Aug-24 CREDIT MIS'!T:T,'Aug-24 CREDIT MIS'!S:S,"Recommend",'Aug-24 CREDIT MIS'!E:E,'Aug Dashboard.'!B100,'Aug-24 CREDIT MIS'!I:I,'Aug Dashboard.'!A100,'Aug-24 CREDIT MIS'!N:N,'Aug Dashboard.'!$A$107)/100000</f>
        <v>0</v>
      </c>
      <c r="O100" s="42">
        <f>COUNTIFS('Aug-24 CREDIT MIS'!S:S,"Query- Sales",'Aug-24 CREDIT MIS'!E:E,'Aug Dashboard.'!B100,'Aug-24 CREDIT MIS'!I:I,'Aug Dashboard.'!A100,'Aug-24 CREDIT MIS'!N:N,'Aug Dashboard.'!$A$107)</f>
        <v>0</v>
      </c>
      <c r="P100" s="42">
        <f>SUMIFS('Aug-24 CREDIT MIS'!T:T,'Aug-24 CREDIT MIS'!S:S,"Query- Sales",'Aug-24 CREDIT MIS'!E:E,'Aug Dashboard.'!B100,'Aug-24 CREDIT MIS'!I:I,'Aug Dashboard.'!A100,'Aug-24 CREDIT MIS'!N:N,'Aug Dashboard.'!$A$107)/100000</f>
        <v>0</v>
      </c>
      <c r="Q100" s="42">
        <f>COUNTIFS('Aug-24 CREDIT MIS'!S:S,"WIP- Credit",'Aug-24 CREDIT MIS'!E:E,'Aug Dashboard.'!B100,'Aug-24 CREDIT MIS'!I:I,'Aug Dashboard.'!A100,'Aug-24 CREDIT MIS'!N:N,'Aug Dashboard.'!$A$107)</f>
        <v>0</v>
      </c>
      <c r="R100" s="42">
        <f>SUMIFS('Aug-24 CREDIT MIS'!T:T,'Aug-24 CREDIT MIS'!S:S,"WIP- Credit",'Aug-24 CREDIT MIS'!E:E,'Aug Dashboard.'!B100,'Aug-24 CREDIT MIS'!I:I,'Aug Dashboard.'!A100,'Aug-24 CREDIT MIS'!N:N,'Aug Dashboard.'!$A$107)/100000</f>
        <v>0</v>
      </c>
      <c r="S100" s="42">
        <f>COUNTIFS('Aug-24 CREDIT MIS'!S:S,"Visit Pending",'Aug-24 CREDIT MIS'!E:E,'Aug Dashboard.'!B100,'Aug-24 CREDIT MIS'!I:I,'Aug Dashboard.'!A100,'Aug-24 CREDIT MIS'!N:N,'Aug Dashboard.'!$A$107)</f>
        <v>2</v>
      </c>
      <c r="T100" s="42">
        <f>SUMIFS('Aug-24 CREDIT MIS'!T:T,'Aug-24 CREDIT MIS'!S:S,"Visit Pending",'Aug-24 CREDIT MIS'!E:E,'Aug Dashboard.'!B100,'Aug-24 CREDIT MIS'!I:I,'Aug Dashboard.'!A100,'Aug-24 CREDIT MIS'!N:N,'Aug Dashboard.'!$A$107)/100000</f>
        <v>11</v>
      </c>
    </row>
    <row r="101" spans="1:20" x14ac:dyDescent="0.25">
      <c r="A101" s="46" t="s">
        <v>217</v>
      </c>
      <c r="B101" s="67" t="s">
        <v>43</v>
      </c>
      <c r="C101" s="42">
        <f>COUNTIFS('Aug-24 CREDIT MIS'!C:C,"&lt;01-08-2024",'Aug-24 CREDIT MIS'!E:E,'Aug Dashboard.'!B101,'Aug-24 CREDIT MIS'!I:I,'Aug Dashboard.'!A101,'Aug-24 CREDIT MIS'!N:N,"Ajay Gupta")</f>
        <v>0</v>
      </c>
      <c r="D101" s="42">
        <f>SUMIFS('Aug-24 CREDIT MIS'!T:T,'Aug-24 CREDIT MIS'!C:C,"&lt;01-08-2024",'Aug-24 CREDIT MIS'!E:E,'Aug Dashboard.'!B101,'Aug-24 CREDIT MIS'!I:I,'Aug Dashboard.'!A101,'Aug-24 CREDIT MIS'!N:N,"Ajay Gupta")/100000</f>
        <v>0</v>
      </c>
      <c r="E101" s="42">
        <f>COUNTIFS('Aug-24 CREDIT MIS'!C:C,"&gt;=01-08-2024",'Aug-24 CREDIT MIS'!E:E,'Aug Dashboard.'!B101,'Aug-24 CREDIT MIS'!I:I,'Aug Dashboard.'!A101,'Aug-24 CREDIT MIS'!N:N,"Ajay Gupta")</f>
        <v>4</v>
      </c>
      <c r="F101" s="42">
        <f>SUMIFS('Aug-24 CREDIT MIS'!T:T,'Aug-24 CREDIT MIS'!C:C,"&gt;=01-08-2024",'Aug-24 CREDIT MIS'!E:E,'Aug Dashboard.'!B101,'Aug-24 CREDIT MIS'!I:I,'Aug Dashboard.'!A101,'Aug-24 CREDIT MIS'!N:N,"Ajay Gupta")/100000</f>
        <v>29.2</v>
      </c>
      <c r="G101" s="42">
        <f t="shared" si="34"/>
        <v>4</v>
      </c>
      <c r="H101" s="42">
        <f t="shared" si="35"/>
        <v>29.2</v>
      </c>
      <c r="I101" s="42">
        <f>COUNTIFS('Aug-24 CREDIT MIS'!S:S,"Sanction",'Aug-24 CREDIT MIS'!E:E,'Aug Dashboard.'!B101,'Aug-24 CREDIT MIS'!I:I,'Aug Dashboard.'!A101,'Aug-24 CREDIT MIS'!N:N,'Aug Dashboard.'!$A$107)+COUNTIFS('Aug-24 CREDIT MIS'!S:S,"Disbursed",'Aug-24 CREDIT MIS'!E:E,'Aug Dashboard.'!B101,'Aug-24 CREDIT MIS'!I:I,'Aug Dashboard.'!A101,'Aug-24 CREDIT MIS'!N:N,'Aug Dashboard.'!$A$107)</f>
        <v>0</v>
      </c>
      <c r="J101" s="42">
        <f>SUMIFS('Aug-24 CREDIT MIS'!V:V,'Aug-24 CREDIT MIS'!S:S,"Sanction",'Aug-24 CREDIT MIS'!E:E,'Aug Dashboard.'!B101,'Aug-24 CREDIT MIS'!I:I,'Aug Dashboard.'!A101,'Aug-24 CREDIT MIS'!N:N,'Aug Dashboard.'!$A$107)/100000+SUMIFS('Aug-24 CREDIT MIS'!V:V,'Aug-24 CREDIT MIS'!S:S,"Disbursed",'Aug-24 CREDIT MIS'!E:E,'Aug Dashboard.'!B101,'Aug-24 CREDIT MIS'!I:I,'Aug Dashboard.'!A101,'Aug-24 CREDIT MIS'!N:N,'Aug Dashboard.'!$A$107)/100000</f>
        <v>0</v>
      </c>
      <c r="K101" s="42">
        <f>COUNTIFS('Aug-24 CREDIT MIS'!S:S,"Reject",'Aug-24 CREDIT MIS'!E:E,'Aug Dashboard.'!B101,'Aug-24 CREDIT MIS'!I:I,'Aug Dashboard.'!A101,'Aug-24 CREDIT MIS'!N:N,'Aug Dashboard.'!$A$107)</f>
        <v>0</v>
      </c>
      <c r="L101" s="42">
        <f>SUMIFS('Aug-24 CREDIT MIS'!T:T,'Aug-24 CREDIT MIS'!S:S,"Reject",'Aug-24 CREDIT MIS'!E:E,'Aug Dashboard.'!B101,'Aug-24 CREDIT MIS'!I:I,'Aug Dashboard.'!A101,'Aug-24 CREDIT MIS'!N:N,'Aug Dashboard.'!$A$107)/100000</f>
        <v>0</v>
      </c>
      <c r="M101" s="42">
        <f>COUNTIFS('Aug-24 CREDIT MIS'!S:S,"Recommend",'Aug-24 CREDIT MIS'!E:E,'Aug Dashboard.'!B101,'Aug-24 CREDIT MIS'!I:I,'Aug Dashboard.'!A101,'Aug-24 CREDIT MIS'!N:N,'Aug Dashboard.'!$A$107)</f>
        <v>0</v>
      </c>
      <c r="N101" s="42">
        <f>SUMIFS('Aug-24 CREDIT MIS'!T:T,'Aug-24 CREDIT MIS'!S:S,"Recommend",'Aug-24 CREDIT MIS'!E:E,'Aug Dashboard.'!B101,'Aug-24 CREDIT MIS'!I:I,'Aug Dashboard.'!A101,'Aug-24 CREDIT MIS'!N:N,'Aug Dashboard.'!$A$107)/100000</f>
        <v>0</v>
      </c>
      <c r="O101" s="42">
        <f>COUNTIFS('Aug-24 CREDIT MIS'!S:S,"Query- Sales",'Aug-24 CREDIT MIS'!E:E,'Aug Dashboard.'!B101,'Aug-24 CREDIT MIS'!I:I,'Aug Dashboard.'!A101,'Aug-24 CREDIT MIS'!N:N,'Aug Dashboard.'!$A$107)</f>
        <v>0</v>
      </c>
      <c r="P101" s="42">
        <f>SUMIFS('Aug-24 CREDIT MIS'!T:T,'Aug-24 CREDIT MIS'!S:S,"Query- Sales",'Aug-24 CREDIT MIS'!E:E,'Aug Dashboard.'!B101,'Aug-24 CREDIT MIS'!I:I,'Aug Dashboard.'!A101,'Aug-24 CREDIT MIS'!N:N,'Aug Dashboard.'!$A$107)/100000</f>
        <v>0</v>
      </c>
      <c r="Q101" s="42">
        <f>COUNTIFS('Aug-24 CREDIT MIS'!S:S,"WIP- Credit",'Aug-24 CREDIT MIS'!E:E,'Aug Dashboard.'!B101,'Aug-24 CREDIT MIS'!I:I,'Aug Dashboard.'!A101,'Aug-24 CREDIT MIS'!N:N,'Aug Dashboard.'!$A$107)</f>
        <v>1</v>
      </c>
      <c r="R101" s="42">
        <f>SUMIFS('Aug-24 CREDIT MIS'!T:T,'Aug-24 CREDIT MIS'!S:S,"WIP- Credit",'Aug-24 CREDIT MIS'!E:E,'Aug Dashboard.'!B101,'Aug-24 CREDIT MIS'!I:I,'Aug Dashboard.'!A101,'Aug-24 CREDIT MIS'!N:N,'Aug Dashboard.'!$A$107)/100000</f>
        <v>9.5</v>
      </c>
      <c r="S101" s="42">
        <f>COUNTIFS('Aug-24 CREDIT MIS'!S:S,"Visit Pending",'Aug-24 CREDIT MIS'!E:E,'Aug Dashboard.'!B101,'Aug-24 CREDIT MIS'!I:I,'Aug Dashboard.'!A101,'Aug-24 CREDIT MIS'!N:N,'Aug Dashboard.'!$A$107)</f>
        <v>3</v>
      </c>
      <c r="T101" s="42">
        <f>SUMIFS('Aug-24 CREDIT MIS'!T:T,'Aug-24 CREDIT MIS'!S:S,"Visit Pending",'Aug-24 CREDIT MIS'!E:E,'Aug Dashboard.'!B101,'Aug-24 CREDIT MIS'!I:I,'Aug Dashboard.'!A101,'Aug-24 CREDIT MIS'!N:N,'Aug Dashboard.'!$A$107)/100000</f>
        <v>19.7</v>
      </c>
    </row>
    <row r="102" spans="1:20" x14ac:dyDescent="0.25">
      <c r="A102" s="63" t="s">
        <v>216</v>
      </c>
      <c r="B102" s="45" t="s">
        <v>215</v>
      </c>
      <c r="C102" s="42">
        <f>COUNTIFS('Aug-24 CREDIT MIS'!C:C,"&lt;01-08-2024",'Aug-24 CREDIT MIS'!E:E,'Aug Dashboard.'!B102,'Aug-24 CREDIT MIS'!I:I,'Aug Dashboard.'!A102,'Aug-24 CREDIT MIS'!N:N,"Ajay Gupta")</f>
        <v>0</v>
      </c>
      <c r="D102" s="42">
        <f>SUMIFS('Aug-24 CREDIT MIS'!T:T,'Aug-24 CREDIT MIS'!C:C,"&lt;01-08-2024",'Aug-24 CREDIT MIS'!E:E,'Aug Dashboard.'!B102,'Aug-24 CREDIT MIS'!I:I,'Aug Dashboard.'!A102,'Aug-24 CREDIT MIS'!N:N,"Ajay Gupta")/100000</f>
        <v>0</v>
      </c>
      <c r="E102" s="42">
        <f>COUNTIFS('Aug-24 CREDIT MIS'!C:C,"&gt;=01-08-2024",'Aug-24 CREDIT MIS'!E:E,'Aug Dashboard.'!B102,'Aug-24 CREDIT MIS'!I:I,'Aug Dashboard.'!A102,'Aug-24 CREDIT MIS'!N:N,"Ajay Gupta")</f>
        <v>0</v>
      </c>
      <c r="F102" s="42">
        <f>SUMIFS('Aug-24 CREDIT MIS'!T:T,'Aug-24 CREDIT MIS'!C:C,"&gt;=01-08-2024",'Aug-24 CREDIT MIS'!E:E,'Aug Dashboard.'!B102,'Aug-24 CREDIT MIS'!I:I,'Aug Dashboard.'!A102,'Aug-24 CREDIT MIS'!N:N,"Ajay Gupta")/100000</f>
        <v>0</v>
      </c>
      <c r="G102" s="42">
        <f t="shared" si="34"/>
        <v>0</v>
      </c>
      <c r="H102" s="42">
        <f t="shared" si="35"/>
        <v>0</v>
      </c>
      <c r="I102" s="42">
        <f>COUNTIFS('Aug-24 CREDIT MIS'!S:S,"Sanction",'Aug-24 CREDIT MIS'!E:E,'Aug Dashboard.'!B102,'Aug-24 CREDIT MIS'!I:I,'Aug Dashboard.'!A102,'Aug-24 CREDIT MIS'!N:N,'Aug Dashboard.'!$A$107)+COUNTIFS('Aug-24 CREDIT MIS'!S:S,"Disbursed",'Aug-24 CREDIT MIS'!E:E,'Aug Dashboard.'!B102,'Aug-24 CREDIT MIS'!I:I,'Aug Dashboard.'!A102,'Aug-24 CREDIT MIS'!N:N,'Aug Dashboard.'!$A$107)</f>
        <v>0</v>
      </c>
      <c r="J102" s="42">
        <f>SUMIFS('Aug-24 CREDIT MIS'!V:V,'Aug-24 CREDIT MIS'!S:S,"Sanction",'Aug-24 CREDIT MIS'!E:E,'Aug Dashboard.'!B102,'Aug-24 CREDIT MIS'!I:I,'Aug Dashboard.'!A102,'Aug-24 CREDIT MIS'!N:N,'Aug Dashboard.'!$A$107)/100000+SUMIFS('Aug-24 CREDIT MIS'!V:V,'Aug-24 CREDIT MIS'!S:S,"Disbursed",'Aug-24 CREDIT MIS'!E:E,'Aug Dashboard.'!B102,'Aug-24 CREDIT MIS'!I:I,'Aug Dashboard.'!A102,'Aug-24 CREDIT MIS'!N:N,'Aug Dashboard.'!$A$107)/100000</f>
        <v>0</v>
      </c>
      <c r="K102" s="42">
        <f>COUNTIFS('Aug-24 CREDIT MIS'!S:S,"Reject",'Aug-24 CREDIT MIS'!E:E,'Aug Dashboard.'!B102,'Aug-24 CREDIT MIS'!I:I,'Aug Dashboard.'!A102,'Aug-24 CREDIT MIS'!N:N,'Aug Dashboard.'!$A$107)</f>
        <v>0</v>
      </c>
      <c r="L102" s="42">
        <f>SUMIFS('Aug-24 CREDIT MIS'!T:T,'Aug-24 CREDIT MIS'!S:S,"Reject",'Aug-24 CREDIT MIS'!E:E,'Aug Dashboard.'!B102,'Aug-24 CREDIT MIS'!I:I,'Aug Dashboard.'!A102,'Aug-24 CREDIT MIS'!N:N,'Aug Dashboard.'!$A$107)/100000</f>
        <v>0</v>
      </c>
      <c r="M102" s="42">
        <f>COUNTIFS('Aug-24 CREDIT MIS'!S:S,"Recommend",'Aug-24 CREDIT MIS'!E:E,'Aug Dashboard.'!B102,'Aug-24 CREDIT MIS'!I:I,'Aug Dashboard.'!A102,'Aug-24 CREDIT MIS'!N:N,'Aug Dashboard.'!$A$107)</f>
        <v>0</v>
      </c>
      <c r="N102" s="42">
        <f>SUMIFS('Aug-24 CREDIT MIS'!T:T,'Aug-24 CREDIT MIS'!S:S,"Recommend",'Aug-24 CREDIT MIS'!E:E,'Aug Dashboard.'!B102,'Aug-24 CREDIT MIS'!I:I,'Aug Dashboard.'!A102,'Aug-24 CREDIT MIS'!N:N,'Aug Dashboard.'!$A$107)/100000</f>
        <v>0</v>
      </c>
      <c r="O102" s="42">
        <f>COUNTIFS('Aug-24 CREDIT MIS'!S:S,"Query- Sales",'Aug-24 CREDIT MIS'!E:E,'Aug Dashboard.'!B102,'Aug-24 CREDIT MIS'!I:I,'Aug Dashboard.'!A102,'Aug-24 CREDIT MIS'!N:N,'Aug Dashboard.'!$A$107)</f>
        <v>0</v>
      </c>
      <c r="P102" s="42">
        <f>SUMIFS('Aug-24 CREDIT MIS'!T:T,'Aug-24 CREDIT MIS'!S:S,"Query- Sales",'Aug-24 CREDIT MIS'!E:E,'Aug Dashboard.'!B102,'Aug-24 CREDIT MIS'!I:I,'Aug Dashboard.'!A102,'Aug-24 CREDIT MIS'!N:N,'Aug Dashboard.'!$A$107)/100000</f>
        <v>0</v>
      </c>
      <c r="Q102" s="42">
        <f>COUNTIFS('Aug-24 CREDIT MIS'!S:S,"WIP- Credit",'Aug-24 CREDIT MIS'!E:E,'Aug Dashboard.'!B102,'Aug-24 CREDIT MIS'!I:I,'Aug Dashboard.'!A102,'Aug-24 CREDIT MIS'!N:N,'Aug Dashboard.'!$A$107)</f>
        <v>0</v>
      </c>
      <c r="R102" s="42">
        <f>SUMIFS('Aug-24 CREDIT MIS'!T:T,'Aug-24 CREDIT MIS'!S:S,"WIP- Credit",'Aug-24 CREDIT MIS'!E:E,'Aug Dashboard.'!B102,'Aug-24 CREDIT MIS'!I:I,'Aug Dashboard.'!A102,'Aug-24 CREDIT MIS'!N:N,'Aug Dashboard.'!$A$107)/100000</f>
        <v>0</v>
      </c>
      <c r="S102" s="42">
        <f>COUNTIFS('Aug-24 CREDIT MIS'!S:S,"Visit Pending",'Aug-24 CREDIT MIS'!E:E,'Aug Dashboard.'!B102,'Aug-24 CREDIT MIS'!I:I,'Aug Dashboard.'!A102,'Aug-24 CREDIT MIS'!N:N,'Aug Dashboard.'!$A$107)</f>
        <v>0</v>
      </c>
      <c r="T102" s="42">
        <f>SUMIFS('Aug-24 CREDIT MIS'!T:T,'Aug-24 CREDIT MIS'!S:S,"Visit Pending",'Aug-24 CREDIT MIS'!E:E,'Aug Dashboard.'!B102,'Aug-24 CREDIT MIS'!I:I,'Aug Dashboard.'!A102,'Aug-24 CREDIT MIS'!N:N,'Aug Dashboard.'!$A$107)/100000</f>
        <v>0</v>
      </c>
    </row>
    <row r="103" spans="1:20" x14ac:dyDescent="0.25">
      <c r="A103" s="5" t="s">
        <v>214</v>
      </c>
      <c r="B103" s="45" t="s">
        <v>68</v>
      </c>
      <c r="C103" s="42">
        <f>COUNTIFS('Aug-24 CREDIT MIS'!C:C,"&lt;01-08-2024",'Aug-24 CREDIT MIS'!E:E,'Aug Dashboard.'!B103,'Aug-24 CREDIT MIS'!I:I,'Aug Dashboard.'!A103,'Aug-24 CREDIT MIS'!N:N,"Ajay Gupta")</f>
        <v>0</v>
      </c>
      <c r="D103" s="42">
        <f>SUMIFS('Aug-24 CREDIT MIS'!T:T,'Aug-24 CREDIT MIS'!C:C,"&lt;01-08-2024",'Aug-24 CREDIT MIS'!E:E,'Aug Dashboard.'!B103,'Aug-24 CREDIT MIS'!I:I,'Aug Dashboard.'!A103,'Aug-24 CREDIT MIS'!N:N,"Ajay Gupta")/100000</f>
        <v>0</v>
      </c>
      <c r="E103" s="42">
        <f>COUNTIFS('Aug-24 CREDIT MIS'!C:C,"&gt;=01-08-2024",'Aug-24 CREDIT MIS'!E:E,'Aug Dashboard.'!B103,'Aug-24 CREDIT MIS'!I:I,'Aug Dashboard.'!A103,'Aug-24 CREDIT MIS'!N:N,"Ajay Gupta")</f>
        <v>1</v>
      </c>
      <c r="F103" s="42">
        <f>SUMIFS('Aug-24 CREDIT MIS'!T:T,'Aug-24 CREDIT MIS'!C:C,"&gt;=01-08-2024",'Aug-24 CREDIT MIS'!E:E,'Aug Dashboard.'!B103,'Aug-24 CREDIT MIS'!I:I,'Aug Dashboard.'!A103,'Aug-24 CREDIT MIS'!N:N,"Ajay Gupta")/100000</f>
        <v>7</v>
      </c>
      <c r="G103" s="42">
        <f t="shared" si="34"/>
        <v>1</v>
      </c>
      <c r="H103" s="42">
        <f t="shared" si="35"/>
        <v>7</v>
      </c>
      <c r="I103" s="42">
        <f>COUNTIFS('Aug-24 CREDIT MIS'!S:S,"Sanction",'Aug-24 CREDIT MIS'!E:E,'Aug Dashboard.'!B103,'Aug-24 CREDIT MIS'!I:I,'Aug Dashboard.'!A103,'Aug-24 CREDIT MIS'!N:N,'Aug Dashboard.'!$A$107)+COUNTIFS('Aug-24 CREDIT MIS'!S:S,"Disbursed",'Aug-24 CREDIT MIS'!E:E,'Aug Dashboard.'!B103,'Aug-24 CREDIT MIS'!I:I,'Aug Dashboard.'!A103,'Aug-24 CREDIT MIS'!N:N,'Aug Dashboard.'!$A$107)</f>
        <v>0</v>
      </c>
      <c r="J103" s="42">
        <f>SUMIFS('Aug-24 CREDIT MIS'!V:V,'Aug-24 CREDIT MIS'!S:S,"Sanction",'Aug-24 CREDIT MIS'!E:E,'Aug Dashboard.'!B103,'Aug-24 CREDIT MIS'!I:I,'Aug Dashboard.'!A103,'Aug-24 CREDIT MIS'!N:N,'Aug Dashboard.'!$A$107)/100000+SUMIFS('Aug-24 CREDIT MIS'!V:V,'Aug-24 CREDIT MIS'!S:S,"Disbursed",'Aug-24 CREDIT MIS'!E:E,'Aug Dashboard.'!B103,'Aug-24 CREDIT MIS'!I:I,'Aug Dashboard.'!A103,'Aug-24 CREDIT MIS'!N:N,'Aug Dashboard.'!$A$107)/100000</f>
        <v>0</v>
      </c>
      <c r="K103" s="42">
        <f>COUNTIFS('Aug-24 CREDIT MIS'!S:S,"Reject",'Aug-24 CREDIT MIS'!E:E,'Aug Dashboard.'!B103,'Aug-24 CREDIT MIS'!I:I,'Aug Dashboard.'!A103,'Aug-24 CREDIT MIS'!N:N,'Aug Dashboard.'!$A$107)</f>
        <v>0</v>
      </c>
      <c r="L103" s="42">
        <f>SUMIFS('Aug-24 CREDIT MIS'!T:T,'Aug-24 CREDIT MIS'!S:S,"Reject",'Aug-24 CREDIT MIS'!E:E,'Aug Dashboard.'!B103,'Aug-24 CREDIT MIS'!I:I,'Aug Dashboard.'!A103,'Aug-24 CREDIT MIS'!N:N,'Aug Dashboard.'!$A$107)/100000</f>
        <v>0</v>
      </c>
      <c r="M103" s="42">
        <f>COUNTIFS('Aug-24 CREDIT MIS'!S:S,"Recommend",'Aug-24 CREDIT MIS'!E:E,'Aug Dashboard.'!B103,'Aug-24 CREDIT MIS'!I:I,'Aug Dashboard.'!A103,'Aug-24 CREDIT MIS'!N:N,'Aug Dashboard.'!$A$107)</f>
        <v>0</v>
      </c>
      <c r="N103" s="42">
        <f>SUMIFS('Aug-24 CREDIT MIS'!T:T,'Aug-24 CREDIT MIS'!S:S,"Recommend",'Aug-24 CREDIT MIS'!E:E,'Aug Dashboard.'!B103,'Aug-24 CREDIT MIS'!I:I,'Aug Dashboard.'!A103,'Aug-24 CREDIT MIS'!N:N,'Aug Dashboard.'!$A$107)/100000</f>
        <v>0</v>
      </c>
      <c r="O103" s="42">
        <f>COUNTIFS('Aug-24 CREDIT MIS'!S:S,"Query- Sales",'Aug-24 CREDIT MIS'!E:E,'Aug Dashboard.'!B103,'Aug-24 CREDIT MIS'!I:I,'Aug Dashboard.'!A103,'Aug-24 CREDIT MIS'!N:N,'Aug Dashboard.'!$A$107)</f>
        <v>0</v>
      </c>
      <c r="P103" s="42">
        <f>SUMIFS('Aug-24 CREDIT MIS'!T:T,'Aug-24 CREDIT MIS'!S:S,"Query- Sales",'Aug-24 CREDIT MIS'!E:E,'Aug Dashboard.'!B103,'Aug-24 CREDIT MIS'!I:I,'Aug Dashboard.'!A103,'Aug-24 CREDIT MIS'!N:N,'Aug Dashboard.'!$A$107)/100000</f>
        <v>0</v>
      </c>
      <c r="Q103" s="42">
        <f>COUNTIFS('Aug-24 CREDIT MIS'!S:S,"WIP- Credit",'Aug-24 CREDIT MIS'!E:E,'Aug Dashboard.'!B103,'Aug-24 CREDIT MIS'!I:I,'Aug Dashboard.'!A103,'Aug-24 CREDIT MIS'!N:N,'Aug Dashboard.'!$A$107)</f>
        <v>1</v>
      </c>
      <c r="R103" s="42">
        <f>SUMIFS('Aug-24 CREDIT MIS'!T:T,'Aug-24 CREDIT MIS'!S:S,"WIP- Credit",'Aug-24 CREDIT MIS'!E:E,'Aug Dashboard.'!B103,'Aug-24 CREDIT MIS'!I:I,'Aug Dashboard.'!A103,'Aug-24 CREDIT MIS'!N:N,'Aug Dashboard.'!$A$107)/100000</f>
        <v>7</v>
      </c>
      <c r="S103" s="42">
        <f>COUNTIFS('Aug-24 CREDIT MIS'!S:S,"Visit Pending",'Aug-24 CREDIT MIS'!E:E,'Aug Dashboard.'!B103,'Aug-24 CREDIT MIS'!I:I,'Aug Dashboard.'!A103,'Aug-24 CREDIT MIS'!N:N,'Aug Dashboard.'!$A$107)</f>
        <v>0</v>
      </c>
      <c r="T103" s="42">
        <f>SUMIFS('Aug-24 CREDIT MIS'!T:T,'Aug-24 CREDIT MIS'!S:S,"Visit Pending",'Aug-24 CREDIT MIS'!E:E,'Aug Dashboard.'!B103,'Aug-24 CREDIT MIS'!I:I,'Aug Dashboard.'!A103,'Aug-24 CREDIT MIS'!N:N,'Aug Dashboard.'!$A$107)/100000</f>
        <v>0</v>
      </c>
    </row>
    <row r="104" spans="1:20" x14ac:dyDescent="0.25">
      <c r="A104" s="16" t="s">
        <v>213</v>
      </c>
      <c r="B104" s="1" t="s">
        <v>4</v>
      </c>
      <c r="C104" s="42">
        <f>COUNTIFS('Aug-24 CREDIT MIS'!C:C,"&lt;01-08-2024",'Aug-24 CREDIT MIS'!E:E,'Aug Dashboard.'!B104,'Aug-24 CREDIT MIS'!I:I,'Aug Dashboard.'!A104,'Aug-24 CREDIT MIS'!N:N,"Ajay Gupta")</f>
        <v>0</v>
      </c>
      <c r="D104" s="42">
        <f>SUMIFS('Aug-24 CREDIT MIS'!T:T,'Aug-24 CREDIT MIS'!C:C,"&lt;01-08-2024",'Aug-24 CREDIT MIS'!E:E,'Aug Dashboard.'!B104,'Aug-24 CREDIT MIS'!I:I,'Aug Dashboard.'!A104,'Aug-24 CREDIT MIS'!N:N,"Ajay Gupta")/100000</f>
        <v>0</v>
      </c>
      <c r="E104" s="42">
        <f>COUNTIFS('Aug-24 CREDIT MIS'!C:C,"&gt;=01-08-2024",'Aug-24 CREDIT MIS'!E:E,'Aug Dashboard.'!B104,'Aug-24 CREDIT MIS'!I:I,'Aug Dashboard.'!A104,'Aug-24 CREDIT MIS'!N:N,"Ajay Gupta")</f>
        <v>0</v>
      </c>
      <c r="F104" s="42">
        <f>SUMIFS('Aug-24 CREDIT MIS'!T:T,'Aug-24 CREDIT MIS'!C:C,"&gt;=01-08-2024",'Aug-24 CREDIT MIS'!E:E,'Aug Dashboard.'!B104,'Aug-24 CREDIT MIS'!I:I,'Aug Dashboard.'!A104,'Aug-24 CREDIT MIS'!N:N,"Ajay Gupta")/100000</f>
        <v>0</v>
      </c>
      <c r="G104" s="42">
        <f t="shared" si="34"/>
        <v>0</v>
      </c>
      <c r="H104" s="42">
        <f t="shared" si="35"/>
        <v>0</v>
      </c>
      <c r="I104" s="42">
        <f>COUNTIFS('Aug-24 CREDIT MIS'!S:S,"Sanction",'Aug-24 CREDIT MIS'!E:E,'Aug Dashboard.'!B104,'Aug-24 CREDIT MIS'!I:I,'Aug Dashboard.'!A104,'Aug-24 CREDIT MIS'!N:N,'Aug Dashboard.'!$A$107)+COUNTIFS('Aug-24 CREDIT MIS'!S:S,"Disbursed",'Aug-24 CREDIT MIS'!E:E,'Aug Dashboard.'!B104,'Aug-24 CREDIT MIS'!I:I,'Aug Dashboard.'!A104,'Aug-24 CREDIT MIS'!N:N,'Aug Dashboard.'!$A$107)</f>
        <v>0</v>
      </c>
      <c r="J104" s="42">
        <f>SUMIFS('Aug-24 CREDIT MIS'!V:V,'Aug-24 CREDIT MIS'!S:S,"Sanction",'Aug-24 CREDIT MIS'!E:E,'Aug Dashboard.'!B104,'Aug-24 CREDIT MIS'!I:I,'Aug Dashboard.'!A104,'Aug-24 CREDIT MIS'!N:N,'Aug Dashboard.'!$A$107)/100000+SUMIFS('Aug-24 CREDIT MIS'!V:V,'Aug-24 CREDIT MIS'!S:S,"Disbursed",'Aug-24 CREDIT MIS'!E:E,'Aug Dashboard.'!B104,'Aug-24 CREDIT MIS'!I:I,'Aug Dashboard.'!A104,'Aug-24 CREDIT MIS'!N:N,'Aug Dashboard.'!$A$107)/100000</f>
        <v>0</v>
      </c>
      <c r="K104" s="42">
        <f>COUNTIFS('Aug-24 CREDIT MIS'!S:S,"Reject",'Aug-24 CREDIT MIS'!E:E,'Aug Dashboard.'!B104,'Aug-24 CREDIT MIS'!I:I,'Aug Dashboard.'!A104,'Aug-24 CREDIT MIS'!N:N,'Aug Dashboard.'!$A$107)</f>
        <v>0</v>
      </c>
      <c r="L104" s="42">
        <f>SUMIFS('Aug-24 CREDIT MIS'!T:T,'Aug-24 CREDIT MIS'!S:S,"Reject",'Aug-24 CREDIT MIS'!E:E,'Aug Dashboard.'!B104,'Aug-24 CREDIT MIS'!I:I,'Aug Dashboard.'!A104,'Aug-24 CREDIT MIS'!N:N,'Aug Dashboard.'!$A$107)/100000</f>
        <v>0</v>
      </c>
      <c r="M104" s="42">
        <f>COUNTIFS('Aug-24 CREDIT MIS'!S:S,"Recommend",'Aug-24 CREDIT MIS'!E:E,'Aug Dashboard.'!B104,'Aug-24 CREDIT MIS'!I:I,'Aug Dashboard.'!A104,'Aug-24 CREDIT MIS'!N:N,'Aug Dashboard.'!$A$107)</f>
        <v>0</v>
      </c>
      <c r="N104" s="42">
        <f>SUMIFS('Aug-24 CREDIT MIS'!T:T,'Aug-24 CREDIT MIS'!S:S,"Recommend",'Aug-24 CREDIT MIS'!E:E,'Aug Dashboard.'!B104,'Aug-24 CREDIT MIS'!I:I,'Aug Dashboard.'!A104,'Aug-24 CREDIT MIS'!N:N,'Aug Dashboard.'!$A$107)/100000</f>
        <v>0</v>
      </c>
      <c r="O104" s="42">
        <f>COUNTIFS('Aug-24 CREDIT MIS'!S:S,"Query- Sales",'Aug-24 CREDIT MIS'!E:E,'Aug Dashboard.'!B104,'Aug-24 CREDIT MIS'!I:I,'Aug Dashboard.'!A104,'Aug-24 CREDIT MIS'!N:N,'Aug Dashboard.'!$A$107)</f>
        <v>0</v>
      </c>
      <c r="P104" s="42">
        <f>SUMIFS('Aug-24 CREDIT MIS'!T:T,'Aug-24 CREDIT MIS'!S:S,"Query- Sales",'Aug-24 CREDIT MIS'!E:E,'Aug Dashboard.'!B104,'Aug-24 CREDIT MIS'!I:I,'Aug Dashboard.'!A104,'Aug-24 CREDIT MIS'!N:N,'Aug Dashboard.'!$A$107)/100000</f>
        <v>0</v>
      </c>
      <c r="Q104" s="42">
        <f>COUNTIFS('Aug-24 CREDIT MIS'!S:S,"WIP- Credit",'Aug-24 CREDIT MIS'!E:E,'Aug Dashboard.'!B104,'Aug-24 CREDIT MIS'!I:I,'Aug Dashboard.'!A104,'Aug-24 CREDIT MIS'!N:N,'Aug Dashboard.'!$A$107)</f>
        <v>0</v>
      </c>
      <c r="R104" s="42">
        <f>SUMIFS('Aug-24 CREDIT MIS'!T:T,'Aug-24 CREDIT MIS'!S:S,"WIP- Credit",'Aug-24 CREDIT MIS'!E:E,'Aug Dashboard.'!B104,'Aug-24 CREDIT MIS'!I:I,'Aug Dashboard.'!A104,'Aug-24 CREDIT MIS'!N:N,'Aug Dashboard.'!$A$107)/100000</f>
        <v>0</v>
      </c>
      <c r="S104" s="42">
        <f>COUNTIFS('Aug-24 CREDIT MIS'!S:S,"Visit Pending",'Aug-24 CREDIT MIS'!E:E,'Aug Dashboard.'!B104,'Aug-24 CREDIT MIS'!I:I,'Aug Dashboard.'!A104,'Aug-24 CREDIT MIS'!N:N,'Aug Dashboard.'!$A$107)</f>
        <v>0</v>
      </c>
      <c r="T104" s="42">
        <f>SUMIFS('Aug-24 CREDIT MIS'!T:T,'Aug-24 CREDIT MIS'!S:S,"Visit Pending",'Aug-24 CREDIT MIS'!E:E,'Aug Dashboard.'!B104,'Aug-24 CREDIT MIS'!I:I,'Aug Dashboard.'!A104,'Aug-24 CREDIT MIS'!N:N,'Aug Dashboard.'!$A$107)/100000</f>
        <v>0</v>
      </c>
    </row>
    <row r="105" spans="1:20" x14ac:dyDescent="0.25">
      <c r="A105" s="58" t="s">
        <v>471</v>
      </c>
      <c r="B105" s="45" t="s">
        <v>81</v>
      </c>
      <c r="C105" s="42">
        <f>COUNTIFS('Aug-24 CREDIT MIS'!C:C,"&lt;01-08-2024",'Aug-24 CREDIT MIS'!E:E,'Aug Dashboard.'!B105,'Aug-24 CREDIT MIS'!I:I,'Aug Dashboard.'!A105,'Aug-24 CREDIT MIS'!N:N,"Ajay Gupta")</f>
        <v>0</v>
      </c>
      <c r="D105" s="42">
        <f>SUMIFS('Aug-24 CREDIT MIS'!T:T,'Aug-24 CREDIT MIS'!C:C,"&lt;01-08-2024",'Aug-24 CREDIT MIS'!E:E,'Aug Dashboard.'!B105,'Aug-24 CREDIT MIS'!I:I,'Aug Dashboard.'!A105,'Aug-24 CREDIT MIS'!N:N,"Ajay Gupta")/100000</f>
        <v>0</v>
      </c>
      <c r="E105" s="42">
        <f>COUNTIFS('Aug-24 CREDIT MIS'!C:C,"&gt;=01-08-2024",'Aug-24 CREDIT MIS'!E:E,'Aug Dashboard.'!B105,'Aug-24 CREDIT MIS'!I:I,'Aug Dashboard.'!A105,'Aug-24 CREDIT MIS'!N:N,"Ajay Gupta")</f>
        <v>0</v>
      </c>
      <c r="F105" s="42">
        <f>SUMIFS('Aug-24 CREDIT MIS'!T:T,'Aug-24 CREDIT MIS'!C:C,"&gt;=01-08-2024",'Aug-24 CREDIT MIS'!E:E,'Aug Dashboard.'!B105,'Aug-24 CREDIT MIS'!I:I,'Aug Dashboard.'!A105,'Aug-24 CREDIT MIS'!N:N,"Ajay Gupta")/100000</f>
        <v>0</v>
      </c>
      <c r="G105" s="42">
        <f t="shared" si="34"/>
        <v>0</v>
      </c>
      <c r="H105" s="42">
        <f t="shared" si="35"/>
        <v>0</v>
      </c>
      <c r="I105" s="42">
        <f>COUNTIFS('Aug-24 CREDIT MIS'!S:S,"Sanction",'Aug-24 CREDIT MIS'!E:E,'Aug Dashboard.'!B105,'Aug-24 CREDIT MIS'!I:I,'Aug Dashboard.'!A105,'Aug-24 CREDIT MIS'!N:N,'Aug Dashboard.'!$A$107)+COUNTIFS('Aug-24 CREDIT MIS'!S:S,"Disbursed",'Aug-24 CREDIT MIS'!E:E,'Aug Dashboard.'!B105,'Aug-24 CREDIT MIS'!I:I,'Aug Dashboard.'!A105,'Aug-24 CREDIT MIS'!N:N,'Aug Dashboard.'!$A$107)</f>
        <v>0</v>
      </c>
      <c r="J105" s="42">
        <f>SUMIFS('Aug-24 CREDIT MIS'!V:V,'Aug-24 CREDIT MIS'!S:S,"Sanction",'Aug-24 CREDIT MIS'!E:E,'Aug Dashboard.'!B105,'Aug-24 CREDIT MIS'!I:I,'Aug Dashboard.'!A105,'Aug-24 CREDIT MIS'!N:N,'Aug Dashboard.'!$A$107)/100000+SUMIFS('Aug-24 CREDIT MIS'!V:V,'Aug-24 CREDIT MIS'!S:S,"Disbursed",'Aug-24 CREDIT MIS'!E:E,'Aug Dashboard.'!B105,'Aug-24 CREDIT MIS'!I:I,'Aug Dashboard.'!A105,'Aug-24 CREDIT MIS'!N:N,'Aug Dashboard.'!$A$107)/100000</f>
        <v>0</v>
      </c>
      <c r="K105" s="42">
        <f>COUNTIFS('Aug-24 CREDIT MIS'!S:S,"Reject",'Aug-24 CREDIT MIS'!E:E,'Aug Dashboard.'!B105,'Aug-24 CREDIT MIS'!I:I,'Aug Dashboard.'!A105,'Aug-24 CREDIT MIS'!N:N,'Aug Dashboard.'!$A$107)</f>
        <v>0</v>
      </c>
      <c r="L105" s="42">
        <f>SUMIFS('Aug-24 CREDIT MIS'!T:T,'Aug-24 CREDIT MIS'!S:S,"Reject",'Aug-24 CREDIT MIS'!E:E,'Aug Dashboard.'!B105,'Aug-24 CREDIT MIS'!I:I,'Aug Dashboard.'!A105,'Aug-24 CREDIT MIS'!N:N,'Aug Dashboard.'!$A$107)/100000</f>
        <v>0</v>
      </c>
      <c r="M105" s="42">
        <f>COUNTIFS('Aug-24 CREDIT MIS'!S:S,"Recommend",'Aug-24 CREDIT MIS'!E:E,'Aug Dashboard.'!B105,'Aug-24 CREDIT MIS'!I:I,'Aug Dashboard.'!A105,'Aug-24 CREDIT MIS'!N:N,'Aug Dashboard.'!$A$107)</f>
        <v>0</v>
      </c>
      <c r="N105" s="42">
        <f>SUMIFS('Aug-24 CREDIT MIS'!T:T,'Aug-24 CREDIT MIS'!S:S,"Recommend",'Aug-24 CREDIT MIS'!E:E,'Aug Dashboard.'!B105,'Aug-24 CREDIT MIS'!I:I,'Aug Dashboard.'!A105,'Aug-24 CREDIT MIS'!N:N,'Aug Dashboard.'!$A$107)/100000</f>
        <v>0</v>
      </c>
      <c r="O105" s="42">
        <f>COUNTIFS('Aug-24 CREDIT MIS'!S:S,"Query- Sales",'Aug-24 CREDIT MIS'!E:E,'Aug Dashboard.'!B105,'Aug-24 CREDIT MIS'!I:I,'Aug Dashboard.'!A105,'Aug-24 CREDIT MIS'!N:N,'Aug Dashboard.'!$A$107)</f>
        <v>0</v>
      </c>
      <c r="P105" s="42">
        <f>SUMIFS('Aug-24 CREDIT MIS'!T:T,'Aug-24 CREDIT MIS'!S:S,"Query- Sales",'Aug-24 CREDIT MIS'!E:E,'Aug Dashboard.'!B105,'Aug-24 CREDIT MIS'!I:I,'Aug Dashboard.'!A105,'Aug-24 CREDIT MIS'!N:N,'Aug Dashboard.'!$A$107)/100000</f>
        <v>0</v>
      </c>
      <c r="Q105" s="42">
        <f>COUNTIFS('Aug-24 CREDIT MIS'!S:S,"WIP- Credit",'Aug-24 CREDIT MIS'!E:E,'Aug Dashboard.'!B105,'Aug-24 CREDIT MIS'!I:I,'Aug Dashboard.'!A105,'Aug-24 CREDIT MIS'!N:N,'Aug Dashboard.'!$A$107)</f>
        <v>0</v>
      </c>
      <c r="R105" s="42">
        <f>SUMIFS('Aug-24 CREDIT MIS'!T:T,'Aug-24 CREDIT MIS'!S:S,"WIP- Credit",'Aug-24 CREDIT MIS'!E:E,'Aug Dashboard.'!B105,'Aug-24 CREDIT MIS'!I:I,'Aug Dashboard.'!A105,'Aug-24 CREDIT MIS'!N:N,'Aug Dashboard.'!$A$107)/100000</f>
        <v>0</v>
      </c>
      <c r="S105" s="42">
        <f>COUNTIFS('Aug-24 CREDIT MIS'!S:S,"Visit Pending",'Aug-24 CREDIT MIS'!E:E,'Aug Dashboard.'!B105,'Aug-24 CREDIT MIS'!I:I,'Aug Dashboard.'!A105,'Aug-24 CREDIT MIS'!N:N,'Aug Dashboard.'!$A$107)</f>
        <v>0</v>
      </c>
      <c r="T105" s="42">
        <f>SUMIFS('Aug-24 CREDIT MIS'!T:T,'Aug-24 CREDIT MIS'!S:S,"Visit Pending",'Aug-24 CREDIT MIS'!E:E,'Aug Dashboard.'!B105,'Aug-24 CREDIT MIS'!I:I,'Aug Dashboard.'!A105,'Aug-24 CREDIT MIS'!N:N,'Aug Dashboard.'!$A$107)/100000</f>
        <v>0</v>
      </c>
    </row>
    <row r="106" spans="1:20" x14ac:dyDescent="0.25">
      <c r="A106" s="46" t="s">
        <v>212</v>
      </c>
      <c r="B106" s="45" t="s">
        <v>1</v>
      </c>
      <c r="C106" s="42">
        <f>COUNTIFS('Aug-24 CREDIT MIS'!C:C,"&lt;01-08-2024",'Aug-24 CREDIT MIS'!E:E,'Aug Dashboard.'!B106,'Aug-24 CREDIT MIS'!I:I,'Aug Dashboard.'!A106,'Aug-24 CREDIT MIS'!N:N,"Ajay Gupta")</f>
        <v>0</v>
      </c>
      <c r="D106" s="42">
        <f>SUMIFS('Aug-24 CREDIT MIS'!T:T,'Aug-24 CREDIT MIS'!C:C,"&lt;01-08-2024",'Aug-24 CREDIT MIS'!E:E,'Aug Dashboard.'!B106,'Aug-24 CREDIT MIS'!I:I,'Aug Dashboard.'!A106,'Aug-24 CREDIT MIS'!N:N,"Ajay Gupta")/100000</f>
        <v>0</v>
      </c>
      <c r="E106" s="42">
        <f>COUNTIFS('Aug-24 CREDIT MIS'!C:C,"&gt;=01-08-2024",'Aug-24 CREDIT MIS'!E:E,'Aug Dashboard.'!B106,'Aug-24 CREDIT MIS'!I:I,'Aug Dashboard.'!A106,'Aug-24 CREDIT MIS'!N:N,"Ajay Gupta")</f>
        <v>3</v>
      </c>
      <c r="F106" s="42">
        <f>SUMIFS('Aug-24 CREDIT MIS'!T:T,'Aug-24 CREDIT MIS'!C:C,"&gt;=01-08-2024",'Aug-24 CREDIT MIS'!E:E,'Aug Dashboard.'!B106,'Aug-24 CREDIT MIS'!I:I,'Aug Dashboard.'!A106,'Aug-24 CREDIT MIS'!N:N,"Ajay Gupta")/100000</f>
        <v>25.8</v>
      </c>
      <c r="G106" s="42">
        <f t="shared" si="34"/>
        <v>3</v>
      </c>
      <c r="H106" s="42">
        <f t="shared" si="35"/>
        <v>25.8</v>
      </c>
      <c r="I106" s="42">
        <f>COUNTIFS('Aug-24 CREDIT MIS'!S:S,"Sanction",'Aug-24 CREDIT MIS'!E:E,'Aug Dashboard.'!B106,'Aug-24 CREDIT MIS'!I:I,'Aug Dashboard.'!A106,'Aug-24 CREDIT MIS'!N:N,'Aug Dashboard.'!$A$107)+COUNTIFS('Aug-24 CREDIT MIS'!S:S,"Disbursed",'Aug-24 CREDIT MIS'!E:E,'Aug Dashboard.'!B106,'Aug-24 CREDIT MIS'!I:I,'Aug Dashboard.'!A106,'Aug-24 CREDIT MIS'!N:N,'Aug Dashboard.'!$A$107)</f>
        <v>1</v>
      </c>
      <c r="J106" s="42">
        <f>SUMIFS('Aug-24 CREDIT MIS'!V:V,'Aug-24 CREDIT MIS'!S:S,"Sanction",'Aug-24 CREDIT MIS'!E:E,'Aug Dashboard.'!B106,'Aug-24 CREDIT MIS'!I:I,'Aug Dashboard.'!A106,'Aug-24 CREDIT MIS'!N:N,'Aug Dashboard.'!$A$107)/100000+SUMIFS('Aug-24 CREDIT MIS'!V:V,'Aug-24 CREDIT MIS'!S:S,"Disbursed",'Aug-24 CREDIT MIS'!E:E,'Aug Dashboard.'!B106,'Aug-24 CREDIT MIS'!I:I,'Aug Dashboard.'!A106,'Aug-24 CREDIT MIS'!N:N,'Aug Dashboard.'!$A$107)/100000</f>
        <v>5</v>
      </c>
      <c r="K106" s="42">
        <f>COUNTIFS('Aug-24 CREDIT MIS'!S:S,"Reject",'Aug-24 CREDIT MIS'!E:E,'Aug Dashboard.'!B106,'Aug-24 CREDIT MIS'!I:I,'Aug Dashboard.'!A106,'Aug-24 CREDIT MIS'!N:N,'Aug Dashboard.'!$A$107)</f>
        <v>1</v>
      </c>
      <c r="L106" s="42">
        <f>SUMIFS('Aug-24 CREDIT MIS'!T:T,'Aug-24 CREDIT MIS'!S:S,"Reject",'Aug-24 CREDIT MIS'!E:E,'Aug Dashboard.'!B106,'Aug-24 CREDIT MIS'!I:I,'Aug Dashboard.'!A106,'Aug-24 CREDIT MIS'!N:N,'Aug Dashboard.'!$A$107)/100000</f>
        <v>6</v>
      </c>
      <c r="M106" s="42">
        <f>COUNTIFS('Aug-24 CREDIT MIS'!S:S,"Recommend",'Aug-24 CREDIT MIS'!E:E,'Aug Dashboard.'!B106,'Aug-24 CREDIT MIS'!I:I,'Aug Dashboard.'!A106,'Aug-24 CREDIT MIS'!N:N,'Aug Dashboard.'!$A$107)</f>
        <v>1</v>
      </c>
      <c r="N106" s="42">
        <f>SUMIFS('Aug-24 CREDIT MIS'!T:T,'Aug-24 CREDIT MIS'!S:S,"Recommend",'Aug-24 CREDIT MIS'!E:E,'Aug Dashboard.'!B106,'Aug-24 CREDIT MIS'!I:I,'Aug Dashboard.'!A106,'Aug-24 CREDIT MIS'!N:N,'Aug Dashboard.'!$A$107)/100000</f>
        <v>9.9</v>
      </c>
      <c r="O106" s="42">
        <f>COUNTIFS('Aug-24 CREDIT MIS'!S:S,"Query- Sales",'Aug-24 CREDIT MIS'!E:E,'Aug Dashboard.'!B106,'Aug-24 CREDIT MIS'!I:I,'Aug Dashboard.'!A106,'Aug-24 CREDIT MIS'!N:N,'Aug Dashboard.'!$A$107)</f>
        <v>0</v>
      </c>
      <c r="P106" s="42">
        <f>SUMIFS('Aug-24 CREDIT MIS'!T:T,'Aug-24 CREDIT MIS'!S:S,"Query- Sales",'Aug-24 CREDIT MIS'!E:E,'Aug Dashboard.'!B106,'Aug-24 CREDIT MIS'!I:I,'Aug Dashboard.'!A106,'Aug-24 CREDIT MIS'!N:N,'Aug Dashboard.'!$A$107)/100000</f>
        <v>0</v>
      </c>
      <c r="Q106" s="42">
        <f>COUNTIFS('Aug-24 CREDIT MIS'!S:S,"WIP- Credit",'Aug-24 CREDIT MIS'!E:E,'Aug Dashboard.'!B106,'Aug-24 CREDIT MIS'!I:I,'Aug Dashboard.'!A106,'Aug-24 CREDIT MIS'!N:N,'Aug Dashboard.'!$A$107)</f>
        <v>0</v>
      </c>
      <c r="R106" s="42">
        <f>SUMIFS('Aug-24 CREDIT MIS'!T:T,'Aug-24 CREDIT MIS'!S:S,"WIP- Credit",'Aug-24 CREDIT MIS'!E:E,'Aug Dashboard.'!B106,'Aug-24 CREDIT MIS'!I:I,'Aug Dashboard.'!A106,'Aug-24 CREDIT MIS'!N:N,'Aug Dashboard.'!$A$107)/100000</f>
        <v>0</v>
      </c>
      <c r="S106" s="42">
        <f>COUNTIFS('Aug-24 CREDIT MIS'!S:S,"Visit Pending",'Aug-24 CREDIT MIS'!E:E,'Aug Dashboard.'!B106,'Aug-24 CREDIT MIS'!I:I,'Aug Dashboard.'!A106,'Aug-24 CREDIT MIS'!N:N,'Aug Dashboard.'!$A$107)</f>
        <v>0</v>
      </c>
      <c r="T106" s="42">
        <f>SUMIFS('Aug-24 CREDIT MIS'!T:T,'Aug-24 CREDIT MIS'!S:S,"Visit Pending",'Aug-24 CREDIT MIS'!E:E,'Aug Dashboard.'!B106,'Aug-24 CREDIT MIS'!I:I,'Aug Dashboard.'!A106,'Aug-24 CREDIT MIS'!N:N,'Aug Dashboard.'!$A$107)/100000</f>
        <v>0</v>
      </c>
    </row>
    <row r="107" spans="1:20" x14ac:dyDescent="0.25">
      <c r="A107" s="166" t="s">
        <v>70</v>
      </c>
      <c r="B107" s="167"/>
      <c r="C107" s="24">
        <f t="shared" ref="C107:T107" si="38">SUM(C94:C106)</f>
        <v>1</v>
      </c>
      <c r="D107" s="24">
        <f t="shared" si="38"/>
        <v>22</v>
      </c>
      <c r="E107" s="24">
        <f t="shared" si="38"/>
        <v>18</v>
      </c>
      <c r="F107" s="24">
        <f t="shared" si="38"/>
        <v>130</v>
      </c>
      <c r="G107" s="24">
        <f t="shared" si="38"/>
        <v>19</v>
      </c>
      <c r="H107" s="24">
        <f t="shared" si="38"/>
        <v>152</v>
      </c>
      <c r="I107" s="24">
        <f t="shared" si="38"/>
        <v>1</v>
      </c>
      <c r="J107" s="24">
        <f t="shared" si="38"/>
        <v>5</v>
      </c>
      <c r="K107" s="24">
        <f t="shared" si="38"/>
        <v>2</v>
      </c>
      <c r="L107" s="24">
        <f t="shared" si="38"/>
        <v>28</v>
      </c>
      <c r="M107" s="24">
        <f t="shared" si="38"/>
        <v>4</v>
      </c>
      <c r="N107" s="24">
        <f t="shared" si="38"/>
        <v>32.9</v>
      </c>
      <c r="O107" s="24">
        <f t="shared" si="38"/>
        <v>0</v>
      </c>
      <c r="P107" s="24">
        <f t="shared" si="38"/>
        <v>0</v>
      </c>
      <c r="Q107" s="24">
        <f t="shared" si="38"/>
        <v>5</v>
      </c>
      <c r="R107" s="24">
        <f t="shared" si="38"/>
        <v>34.5</v>
      </c>
      <c r="S107" s="24">
        <f t="shared" si="38"/>
        <v>7</v>
      </c>
      <c r="T107" s="24">
        <f t="shared" si="38"/>
        <v>46.7</v>
      </c>
    </row>
    <row r="108" spans="1:20" x14ac:dyDescent="0.25">
      <c r="A108" s="30" t="s">
        <v>211</v>
      </c>
      <c r="B108" s="25" t="s">
        <v>69</v>
      </c>
      <c r="C108" s="24">
        <f>COUNTIFS('Aug-24 CREDIT MIS'!C:C,"&lt;01-08-2024",'Aug-24 CREDIT MIS'!E:E,'Aug Dashboard.'!B108,'Aug-24 CREDIT MIS'!I:I,'Aug Dashboard.'!A108,'Aug-24 CREDIT MIS'!N:N,"Pradeep Kumar Rohlan")</f>
        <v>0</v>
      </c>
      <c r="D108" s="24">
        <f>SUMIFS('Aug-24 CREDIT MIS'!T:T,'Aug-24 CREDIT MIS'!C:C,"&lt;01-08-2024",'Aug-24 CREDIT MIS'!E:E,'Aug Dashboard.'!B108,'Aug-24 CREDIT MIS'!I:I,'Aug Dashboard.'!A108,'Aug-24 CREDIT MIS'!N:N,"Pradeep Kumar Rohlan")/100000</f>
        <v>0</v>
      </c>
      <c r="E108" s="24">
        <f>COUNTIFS('Aug-24 CREDIT MIS'!C:C,"&gt;=01-08-2024",'Aug-24 CREDIT MIS'!E:E,'Aug Dashboard.'!B108,'Aug-24 CREDIT MIS'!I:I,'Aug Dashboard.'!A108,'Aug-24 CREDIT MIS'!N:N,"Pradeep Kumar Rohlan")</f>
        <v>0</v>
      </c>
      <c r="F108" s="24">
        <f>SUMIFS('Aug-24 CREDIT MIS'!T:T,'Aug-24 CREDIT MIS'!C:C,"&gt;=01-08-2024",'Aug-24 CREDIT MIS'!E:E,'Aug Dashboard.'!B108,'Aug-24 CREDIT MIS'!I:I,'Aug Dashboard.'!A108,'Aug-24 CREDIT MIS'!N:N,"Pradeep Kumar Rohlan")/100000</f>
        <v>0</v>
      </c>
      <c r="G108" s="24">
        <f t="shared" ref="G108:G123" si="39">E108+C108</f>
        <v>0</v>
      </c>
      <c r="H108" s="24">
        <f t="shared" ref="H108:H123" si="40">F108+D108</f>
        <v>0</v>
      </c>
      <c r="I108" s="24">
        <f>COUNTIFS('Aug-24 CREDIT MIS'!S:S,"Sanction",'Aug-24 CREDIT MIS'!E:E,'Aug Dashboard.'!B108,'Aug-24 CREDIT MIS'!I:I,'Aug Dashboard.'!A108,'Aug-24 CREDIT MIS'!N:N,'Aug Dashboard.'!$A$124)+COUNTIFS('Aug-24 CREDIT MIS'!S:S,"Disbursed",'Aug-24 CREDIT MIS'!E:E,'Aug Dashboard.'!B108,'Aug-24 CREDIT MIS'!I:I,'Aug Dashboard.'!A108,'Aug-24 CREDIT MIS'!N:N,'Aug Dashboard.'!$A$124)</f>
        <v>0</v>
      </c>
      <c r="J108" s="24">
        <f>SUMIFS('Aug-24 CREDIT MIS'!V:V,'Aug-24 CREDIT MIS'!S:S,"Sanction",'Aug-24 CREDIT MIS'!E:E,'Aug Dashboard.'!B108,'Aug-24 CREDIT MIS'!I:I,'Aug Dashboard.'!A108,'Aug-24 CREDIT MIS'!N:N,'Aug Dashboard.'!$A$124)/100000+SUMIFS('Aug-24 CREDIT MIS'!V:V,'Aug-24 CREDIT MIS'!S:S,"Disbursed",'Aug-24 CREDIT MIS'!E:E,'Aug Dashboard.'!B108,'Aug-24 CREDIT MIS'!I:I,'Aug Dashboard.'!A108,'Aug-24 CREDIT MIS'!N:N,'Aug Dashboard.'!$A$124)/100000</f>
        <v>0</v>
      </c>
      <c r="K108" s="24">
        <f>COUNTIFS('Aug-24 CREDIT MIS'!S:S,"Reject",'Aug-24 CREDIT MIS'!E:E,'Aug Dashboard.'!B108,'Aug-24 CREDIT MIS'!I:I,'Aug Dashboard.'!A108,'Aug-24 CREDIT MIS'!N:N,'Aug Dashboard.'!$A$124)</f>
        <v>0</v>
      </c>
      <c r="L108" s="24">
        <f>SUMIFS('Aug-24 CREDIT MIS'!T:T,'Aug-24 CREDIT MIS'!S:S,"Reject",'Aug-24 CREDIT MIS'!E:E,'Aug Dashboard.'!B108,'Aug-24 CREDIT MIS'!I:I,'Aug Dashboard.'!A108,'Aug-24 CREDIT MIS'!N:N,'Aug Dashboard.'!$A$124)/100000</f>
        <v>0</v>
      </c>
      <c r="M108" s="24">
        <f>COUNTIFS('Aug-24 CREDIT MIS'!S:S,"Recommend",'Aug-24 CREDIT MIS'!E:E,'Aug Dashboard.'!B108,'Aug-24 CREDIT MIS'!I:I,'Aug Dashboard.'!A108,'Aug-24 CREDIT MIS'!N:N,'Aug Dashboard.'!$A$124)</f>
        <v>0</v>
      </c>
      <c r="N108" s="24">
        <f>SUMIFS('Aug-24 CREDIT MIS'!T:T,'Aug-24 CREDIT MIS'!S:S,"Recommend",'Aug-24 CREDIT MIS'!E:E,'Aug Dashboard.'!B108,'Aug-24 CREDIT MIS'!I:I,'Aug Dashboard.'!A108,'Aug-24 CREDIT MIS'!N:N,'Aug Dashboard.'!$A$124)/100000</f>
        <v>0</v>
      </c>
      <c r="O108" s="24">
        <f>COUNTIFS('Aug-24 CREDIT MIS'!S:S,"Query- Sales",'Aug-24 CREDIT MIS'!E:E,'Aug Dashboard.'!B108,'Aug-24 CREDIT MIS'!I:I,'Aug Dashboard.'!A108,'Aug-24 CREDIT MIS'!N:N,'Aug Dashboard.'!$A$124)</f>
        <v>0</v>
      </c>
      <c r="P108" s="24">
        <f>SUMIFS('Aug-24 CREDIT MIS'!T:T,'Aug-24 CREDIT MIS'!S:S,"Query- Sales",'Aug-24 CREDIT MIS'!E:E,'Aug Dashboard.'!B108,'Aug-24 CREDIT MIS'!I:I,'Aug Dashboard.'!A108,'Aug-24 CREDIT MIS'!N:N,'Aug Dashboard.'!$A$124)/100000</f>
        <v>0</v>
      </c>
      <c r="Q108" s="24">
        <f>COUNTIFS('Aug-24 CREDIT MIS'!S:S,"WIP- Credit",'Aug-24 CREDIT MIS'!E:E,'Aug Dashboard.'!B108,'Aug-24 CREDIT MIS'!I:I,'Aug Dashboard.'!A108,'Aug-24 CREDIT MIS'!N:N,'Aug Dashboard.'!$A$124)</f>
        <v>0</v>
      </c>
      <c r="R108" s="24">
        <f>SUMIFS('Aug-24 CREDIT MIS'!T:T,'Aug-24 CREDIT MIS'!S:S,"WIP- Credit",'Aug-24 CREDIT MIS'!E:E,'Aug Dashboard.'!B108,'Aug-24 CREDIT MIS'!I:I,'Aug Dashboard.'!A108,'Aug-24 CREDIT MIS'!N:N,'Aug Dashboard.'!$A$124)/100000</f>
        <v>0</v>
      </c>
      <c r="S108" s="24">
        <f>COUNTIFS('Aug-24 CREDIT MIS'!S:S,"Visit Pending",'Aug-24 CREDIT MIS'!E:E,'Aug Dashboard.'!B108,'Aug-24 CREDIT MIS'!I:I,'Aug Dashboard.'!A108,'Aug-24 CREDIT MIS'!N:N,'Aug Dashboard.'!$A$124)</f>
        <v>0</v>
      </c>
      <c r="T108" s="24">
        <f>SUMIFS('Aug-24 CREDIT MIS'!T:T,'Aug-24 CREDIT MIS'!S:S,"Visit Pending",'Aug-24 CREDIT MIS'!E:E,'Aug Dashboard.'!B108,'Aug-24 CREDIT MIS'!I:I,'Aug Dashboard.'!A108,'Aug-24 CREDIT MIS'!N:N,'Aug Dashboard.'!$A$124)/100000</f>
        <v>0</v>
      </c>
    </row>
    <row r="109" spans="1:20" x14ac:dyDescent="0.25">
      <c r="A109" s="30" t="s">
        <v>210</v>
      </c>
      <c r="B109" s="25" t="s">
        <v>60</v>
      </c>
      <c r="C109" s="24">
        <f>COUNTIFS('Aug-24 CREDIT MIS'!C:C,"&lt;01-08-2024",'Aug-24 CREDIT MIS'!E:E,'Aug Dashboard.'!B109,'Aug-24 CREDIT MIS'!I:I,'Aug Dashboard.'!A109,'Aug-24 CREDIT MIS'!N:N,"Pradeep Kumar Rohlan")</f>
        <v>0</v>
      </c>
      <c r="D109" s="24">
        <f>SUMIFS('Aug-24 CREDIT MIS'!T:T,'Aug-24 CREDIT MIS'!C:C,"&lt;01-08-2024",'Aug-24 CREDIT MIS'!E:E,'Aug Dashboard.'!B109,'Aug-24 CREDIT MIS'!I:I,'Aug Dashboard.'!A109,'Aug-24 CREDIT MIS'!N:N,"Pradeep Kumar Rohlan")/100000</f>
        <v>0</v>
      </c>
      <c r="E109" s="24">
        <f>COUNTIFS('Aug-24 CREDIT MIS'!C:C,"&gt;=01-08-2024",'Aug-24 CREDIT MIS'!E:E,'Aug Dashboard.'!B109,'Aug-24 CREDIT MIS'!I:I,'Aug Dashboard.'!A109,'Aug-24 CREDIT MIS'!N:N,"Pradeep Kumar Rohlan")</f>
        <v>1</v>
      </c>
      <c r="F109" s="24">
        <f>SUMIFS('Aug-24 CREDIT MIS'!T:T,'Aug-24 CREDIT MIS'!C:C,"&gt;=01-08-2024",'Aug-24 CREDIT MIS'!E:E,'Aug Dashboard.'!B109,'Aug-24 CREDIT MIS'!I:I,'Aug Dashboard.'!A109,'Aug-24 CREDIT MIS'!N:N,"Pradeep Kumar Rohlan")/100000</f>
        <v>9.9</v>
      </c>
      <c r="G109" s="24">
        <f t="shared" si="39"/>
        <v>1</v>
      </c>
      <c r="H109" s="24">
        <f t="shared" si="40"/>
        <v>9.9</v>
      </c>
      <c r="I109" s="24">
        <f>COUNTIFS('Aug-24 CREDIT MIS'!S:S,"Sanction",'Aug-24 CREDIT MIS'!E:E,'Aug Dashboard.'!B109,'Aug-24 CREDIT MIS'!I:I,'Aug Dashboard.'!A109,'Aug-24 CREDIT MIS'!N:N,'Aug Dashboard.'!$A$124)+COUNTIFS('Aug-24 CREDIT MIS'!S:S,"Disbursed",'Aug-24 CREDIT MIS'!E:E,'Aug Dashboard.'!B109,'Aug-24 CREDIT MIS'!I:I,'Aug Dashboard.'!A109,'Aug-24 CREDIT MIS'!N:N,'Aug Dashboard.'!$A$124)</f>
        <v>0</v>
      </c>
      <c r="J109" s="24">
        <f>SUMIFS('Aug-24 CREDIT MIS'!V:V,'Aug-24 CREDIT MIS'!S:S,"Sanction",'Aug-24 CREDIT MIS'!E:E,'Aug Dashboard.'!B109,'Aug-24 CREDIT MIS'!I:I,'Aug Dashboard.'!A109,'Aug-24 CREDIT MIS'!N:N,'Aug Dashboard.'!$A$124)/100000+SUMIFS('Aug-24 CREDIT MIS'!V:V,'Aug-24 CREDIT MIS'!S:S,"Disbursed",'Aug-24 CREDIT MIS'!E:E,'Aug Dashboard.'!B109,'Aug-24 CREDIT MIS'!I:I,'Aug Dashboard.'!A109,'Aug-24 CREDIT MIS'!N:N,'Aug Dashboard.'!$A$124)/100000</f>
        <v>0</v>
      </c>
      <c r="K109" s="24">
        <f>COUNTIFS('Aug-24 CREDIT MIS'!S:S,"Reject",'Aug-24 CREDIT MIS'!E:E,'Aug Dashboard.'!B109,'Aug-24 CREDIT MIS'!I:I,'Aug Dashboard.'!A109,'Aug-24 CREDIT MIS'!N:N,'Aug Dashboard.'!$A$124)</f>
        <v>0</v>
      </c>
      <c r="L109" s="24">
        <f>SUMIFS('Aug-24 CREDIT MIS'!T:T,'Aug-24 CREDIT MIS'!S:S,"Reject",'Aug-24 CREDIT MIS'!E:E,'Aug Dashboard.'!B109,'Aug-24 CREDIT MIS'!I:I,'Aug Dashboard.'!A109,'Aug-24 CREDIT MIS'!N:N,'Aug Dashboard.'!$A$124)/100000</f>
        <v>0</v>
      </c>
      <c r="M109" s="24">
        <f>COUNTIFS('Aug-24 CREDIT MIS'!S:S,"Recommend",'Aug-24 CREDIT MIS'!E:E,'Aug Dashboard.'!B109,'Aug-24 CREDIT MIS'!I:I,'Aug Dashboard.'!A109,'Aug-24 CREDIT MIS'!N:N,'Aug Dashboard.'!$A$124)</f>
        <v>1</v>
      </c>
      <c r="N109" s="24">
        <f>SUMIFS('Aug-24 CREDIT MIS'!T:T,'Aug-24 CREDIT MIS'!S:S,"Recommend",'Aug-24 CREDIT MIS'!E:E,'Aug Dashboard.'!B109,'Aug-24 CREDIT MIS'!I:I,'Aug Dashboard.'!A109,'Aug-24 CREDIT MIS'!N:N,'Aug Dashboard.'!$A$124)/100000</f>
        <v>9.9</v>
      </c>
      <c r="O109" s="24">
        <f>COUNTIFS('Aug-24 CREDIT MIS'!S:S,"Query- Sales",'Aug-24 CREDIT MIS'!E:E,'Aug Dashboard.'!B109,'Aug-24 CREDIT MIS'!I:I,'Aug Dashboard.'!A109,'Aug-24 CREDIT MIS'!N:N,'Aug Dashboard.'!$A$124)</f>
        <v>0</v>
      </c>
      <c r="P109" s="24">
        <f>SUMIFS('Aug-24 CREDIT MIS'!T:T,'Aug-24 CREDIT MIS'!S:S,"Query- Sales",'Aug-24 CREDIT MIS'!E:E,'Aug Dashboard.'!B109,'Aug-24 CREDIT MIS'!I:I,'Aug Dashboard.'!A109,'Aug-24 CREDIT MIS'!N:N,'Aug Dashboard.'!$A$124)/100000</f>
        <v>0</v>
      </c>
      <c r="Q109" s="24">
        <f>COUNTIFS('Aug-24 CREDIT MIS'!S:S,"WIP- Credit",'Aug-24 CREDIT MIS'!E:E,'Aug Dashboard.'!B109,'Aug-24 CREDIT MIS'!I:I,'Aug Dashboard.'!A109,'Aug-24 CREDIT MIS'!N:N,'Aug Dashboard.'!$A$124)</f>
        <v>0</v>
      </c>
      <c r="R109" s="24">
        <f>SUMIFS('Aug-24 CREDIT MIS'!T:T,'Aug-24 CREDIT MIS'!S:S,"WIP- Credit",'Aug-24 CREDIT MIS'!E:E,'Aug Dashboard.'!B109,'Aug-24 CREDIT MIS'!I:I,'Aug Dashboard.'!A109,'Aug-24 CREDIT MIS'!N:N,'Aug Dashboard.'!$A$124)/100000</f>
        <v>0</v>
      </c>
      <c r="S109" s="24">
        <f>COUNTIFS('Aug-24 CREDIT MIS'!S:S,"Visit Pending",'Aug-24 CREDIT MIS'!E:E,'Aug Dashboard.'!B109,'Aug-24 CREDIT MIS'!I:I,'Aug Dashboard.'!A109,'Aug-24 CREDIT MIS'!N:N,'Aug Dashboard.'!$A$124)</f>
        <v>0</v>
      </c>
      <c r="T109" s="24">
        <f>SUMIFS('Aug-24 CREDIT MIS'!T:T,'Aug-24 CREDIT MIS'!S:S,"Visit Pending",'Aug-24 CREDIT MIS'!E:E,'Aug Dashboard.'!B109,'Aug-24 CREDIT MIS'!I:I,'Aug Dashboard.'!A109,'Aug-24 CREDIT MIS'!N:N,'Aug Dashboard.'!$A$124)/100000</f>
        <v>0</v>
      </c>
    </row>
    <row r="110" spans="1:20" x14ac:dyDescent="0.25">
      <c r="A110" s="30" t="s">
        <v>132</v>
      </c>
      <c r="B110" s="66" t="s">
        <v>76</v>
      </c>
      <c r="C110" s="24">
        <f>COUNTIFS('Aug-24 CREDIT MIS'!C:C,"&lt;01-08-2024",'Aug-24 CREDIT MIS'!E:E,'Aug Dashboard.'!B110,'Aug-24 CREDIT MIS'!I:I,'Aug Dashboard.'!A110,'Aug-24 CREDIT MIS'!N:N,"Pradeep Kumar Rohlan")</f>
        <v>0</v>
      </c>
      <c r="D110" s="24">
        <f>SUMIFS('Aug-24 CREDIT MIS'!T:T,'Aug-24 CREDIT MIS'!C:C,"&lt;01-08-2024",'Aug-24 CREDIT MIS'!E:E,'Aug Dashboard.'!B110,'Aug-24 CREDIT MIS'!I:I,'Aug Dashboard.'!A110,'Aug-24 CREDIT MIS'!N:N,"Pradeep Kumar Rohlan")/100000</f>
        <v>0</v>
      </c>
      <c r="E110" s="24">
        <f>COUNTIFS('Aug-24 CREDIT MIS'!C:C,"&gt;=01-08-2024",'Aug-24 CREDIT MIS'!E:E,'Aug Dashboard.'!B110,'Aug-24 CREDIT MIS'!I:I,'Aug Dashboard.'!A110,'Aug-24 CREDIT MIS'!N:N,"Pradeep Kumar Rohlan")</f>
        <v>0</v>
      </c>
      <c r="F110" s="24">
        <f>SUMIFS('Aug-24 CREDIT MIS'!T:T,'Aug-24 CREDIT MIS'!C:C,"&gt;=01-08-2024",'Aug-24 CREDIT MIS'!E:E,'Aug Dashboard.'!B110,'Aug-24 CREDIT MIS'!I:I,'Aug Dashboard.'!A110,'Aug-24 CREDIT MIS'!N:N,"Pradeep Kumar Rohlan")/100000</f>
        <v>0</v>
      </c>
      <c r="G110" s="24">
        <f t="shared" si="39"/>
        <v>0</v>
      </c>
      <c r="H110" s="24">
        <f t="shared" si="40"/>
        <v>0</v>
      </c>
      <c r="I110" s="24">
        <f>COUNTIFS('Aug-24 CREDIT MIS'!S:S,"Sanction",'Aug-24 CREDIT MIS'!E:E,'Aug Dashboard.'!B110,'Aug-24 CREDIT MIS'!I:I,'Aug Dashboard.'!A110,'Aug-24 CREDIT MIS'!N:N,'Aug Dashboard.'!$A$124)+COUNTIFS('Aug-24 CREDIT MIS'!S:S,"Disbursed",'Aug-24 CREDIT MIS'!E:E,'Aug Dashboard.'!B110,'Aug-24 CREDIT MIS'!I:I,'Aug Dashboard.'!A110,'Aug-24 CREDIT MIS'!N:N,'Aug Dashboard.'!$A$124)</f>
        <v>0</v>
      </c>
      <c r="J110" s="24">
        <f>SUMIFS('Aug-24 CREDIT MIS'!V:V,'Aug-24 CREDIT MIS'!S:S,"Sanction",'Aug-24 CREDIT MIS'!E:E,'Aug Dashboard.'!B110,'Aug-24 CREDIT MIS'!I:I,'Aug Dashboard.'!A110,'Aug-24 CREDIT MIS'!N:N,'Aug Dashboard.'!$A$124)/100000+SUMIFS('Aug-24 CREDIT MIS'!V:V,'Aug-24 CREDIT MIS'!S:S,"Disbursed",'Aug-24 CREDIT MIS'!E:E,'Aug Dashboard.'!B110,'Aug-24 CREDIT MIS'!I:I,'Aug Dashboard.'!A110,'Aug-24 CREDIT MIS'!N:N,'Aug Dashboard.'!$A$124)/100000</f>
        <v>0</v>
      </c>
      <c r="K110" s="24">
        <f>COUNTIFS('Aug-24 CREDIT MIS'!S:S,"Reject",'Aug-24 CREDIT MIS'!E:E,'Aug Dashboard.'!B110,'Aug-24 CREDIT MIS'!I:I,'Aug Dashboard.'!A110,'Aug-24 CREDIT MIS'!N:N,'Aug Dashboard.'!$A$124)</f>
        <v>0</v>
      </c>
      <c r="L110" s="24">
        <f>SUMIFS('Aug-24 CREDIT MIS'!T:T,'Aug-24 CREDIT MIS'!S:S,"Reject",'Aug-24 CREDIT MIS'!E:E,'Aug Dashboard.'!B110,'Aug-24 CREDIT MIS'!I:I,'Aug Dashboard.'!A110,'Aug-24 CREDIT MIS'!N:N,'Aug Dashboard.'!$A$124)/100000</f>
        <v>0</v>
      </c>
      <c r="M110" s="24">
        <f>COUNTIFS('Aug-24 CREDIT MIS'!S:S,"Recommend",'Aug-24 CREDIT MIS'!E:E,'Aug Dashboard.'!B110,'Aug-24 CREDIT MIS'!I:I,'Aug Dashboard.'!A110,'Aug-24 CREDIT MIS'!N:N,'Aug Dashboard.'!$A$124)</f>
        <v>0</v>
      </c>
      <c r="N110" s="24">
        <f>SUMIFS('Aug-24 CREDIT MIS'!T:T,'Aug-24 CREDIT MIS'!S:S,"Recommend",'Aug-24 CREDIT MIS'!E:E,'Aug Dashboard.'!B110,'Aug-24 CREDIT MIS'!I:I,'Aug Dashboard.'!A110,'Aug-24 CREDIT MIS'!N:N,'Aug Dashboard.'!$A$124)/100000</f>
        <v>0</v>
      </c>
      <c r="O110" s="24">
        <f>COUNTIFS('Aug-24 CREDIT MIS'!S:S,"Query- Sales",'Aug-24 CREDIT MIS'!E:E,'Aug Dashboard.'!B110,'Aug-24 CREDIT MIS'!I:I,'Aug Dashboard.'!A110,'Aug-24 CREDIT MIS'!N:N,'Aug Dashboard.'!$A$124)</f>
        <v>0</v>
      </c>
      <c r="P110" s="24">
        <f>SUMIFS('Aug-24 CREDIT MIS'!T:T,'Aug-24 CREDIT MIS'!S:S,"Query- Sales",'Aug-24 CREDIT MIS'!E:E,'Aug Dashboard.'!B110,'Aug-24 CREDIT MIS'!I:I,'Aug Dashboard.'!A110,'Aug-24 CREDIT MIS'!N:N,'Aug Dashboard.'!$A$124)/100000</f>
        <v>0</v>
      </c>
      <c r="Q110" s="24">
        <f>COUNTIFS('Aug-24 CREDIT MIS'!S:S,"WIP- Credit",'Aug-24 CREDIT MIS'!E:E,'Aug Dashboard.'!B110,'Aug-24 CREDIT MIS'!I:I,'Aug Dashboard.'!A110,'Aug-24 CREDIT MIS'!N:N,'Aug Dashboard.'!$A$124)</f>
        <v>0</v>
      </c>
      <c r="R110" s="24">
        <f>SUMIFS('Aug-24 CREDIT MIS'!T:T,'Aug-24 CREDIT MIS'!S:S,"WIP- Credit",'Aug-24 CREDIT MIS'!E:E,'Aug Dashboard.'!B110,'Aug-24 CREDIT MIS'!I:I,'Aug Dashboard.'!A110,'Aug-24 CREDIT MIS'!N:N,'Aug Dashboard.'!$A$124)/100000</f>
        <v>0</v>
      </c>
      <c r="S110" s="24">
        <f>COUNTIFS('Aug-24 CREDIT MIS'!S:S,"Visit Pending",'Aug-24 CREDIT MIS'!E:E,'Aug Dashboard.'!B110,'Aug-24 CREDIT MIS'!I:I,'Aug Dashboard.'!A110,'Aug-24 CREDIT MIS'!N:N,'Aug Dashboard.'!$A$124)</f>
        <v>0</v>
      </c>
      <c r="T110" s="24">
        <f>SUMIFS('Aug-24 CREDIT MIS'!T:T,'Aug-24 CREDIT MIS'!S:S,"Visit Pending",'Aug-24 CREDIT MIS'!E:E,'Aug Dashboard.'!B110,'Aug-24 CREDIT MIS'!I:I,'Aug Dashboard.'!A110,'Aug-24 CREDIT MIS'!N:N,'Aug Dashboard.'!$A$124)/100000</f>
        <v>0</v>
      </c>
    </row>
    <row r="111" spans="1:20" x14ac:dyDescent="0.25">
      <c r="A111" s="65" t="s">
        <v>209</v>
      </c>
      <c r="B111" s="25" t="s">
        <v>60</v>
      </c>
      <c r="C111" s="24">
        <f>COUNTIFS('Aug-24 CREDIT MIS'!C:C,"&lt;01-08-2024",'Aug-24 CREDIT MIS'!E:E,'Aug Dashboard.'!B111,'Aug-24 CREDIT MIS'!I:I,'Aug Dashboard.'!A111,'Aug-24 CREDIT MIS'!N:N,"Pradeep Kumar Rohlan")</f>
        <v>0</v>
      </c>
      <c r="D111" s="24">
        <f>SUMIFS('Aug-24 CREDIT MIS'!T:T,'Aug-24 CREDIT MIS'!C:C,"&lt;01-08-2024",'Aug-24 CREDIT MIS'!E:E,'Aug Dashboard.'!B111,'Aug-24 CREDIT MIS'!I:I,'Aug Dashboard.'!A111,'Aug-24 CREDIT MIS'!N:N,"Pradeep Kumar Rohlan")/100000</f>
        <v>0</v>
      </c>
      <c r="E111" s="24">
        <f>COUNTIFS('Aug-24 CREDIT MIS'!C:C,"&gt;=01-08-2024",'Aug-24 CREDIT MIS'!E:E,'Aug Dashboard.'!B111,'Aug-24 CREDIT MIS'!I:I,'Aug Dashboard.'!A111,'Aug-24 CREDIT MIS'!N:N,"Pradeep Kumar Rohlan")</f>
        <v>0</v>
      </c>
      <c r="F111" s="24">
        <f>SUMIFS('Aug-24 CREDIT MIS'!T:T,'Aug-24 CREDIT MIS'!C:C,"&gt;=01-08-2024",'Aug-24 CREDIT MIS'!E:E,'Aug Dashboard.'!B111,'Aug-24 CREDIT MIS'!I:I,'Aug Dashboard.'!A111,'Aug-24 CREDIT MIS'!N:N,"Pradeep Kumar Rohlan")/100000</f>
        <v>0</v>
      </c>
      <c r="G111" s="24">
        <f t="shared" si="39"/>
        <v>0</v>
      </c>
      <c r="H111" s="24">
        <f t="shared" si="40"/>
        <v>0</v>
      </c>
      <c r="I111" s="24">
        <f>COUNTIFS('Aug-24 CREDIT MIS'!S:S,"Sanction",'Aug-24 CREDIT MIS'!E:E,'Aug Dashboard.'!B111,'Aug-24 CREDIT MIS'!I:I,'Aug Dashboard.'!A111,'Aug-24 CREDIT MIS'!N:N,'Aug Dashboard.'!$A$124)+COUNTIFS('Aug-24 CREDIT MIS'!S:S,"Disbursed",'Aug-24 CREDIT MIS'!E:E,'Aug Dashboard.'!B111,'Aug-24 CREDIT MIS'!I:I,'Aug Dashboard.'!A111,'Aug-24 CREDIT MIS'!N:N,'Aug Dashboard.'!$A$124)</f>
        <v>0</v>
      </c>
      <c r="J111" s="24">
        <f>SUMIFS('Aug-24 CREDIT MIS'!V:V,'Aug-24 CREDIT MIS'!S:S,"Sanction",'Aug-24 CREDIT MIS'!E:E,'Aug Dashboard.'!B111,'Aug-24 CREDIT MIS'!I:I,'Aug Dashboard.'!A111,'Aug-24 CREDIT MIS'!N:N,'Aug Dashboard.'!$A$124)/100000+SUMIFS('Aug-24 CREDIT MIS'!V:V,'Aug-24 CREDIT MIS'!S:S,"Disbursed",'Aug-24 CREDIT MIS'!E:E,'Aug Dashboard.'!B111,'Aug-24 CREDIT MIS'!I:I,'Aug Dashboard.'!A111,'Aug-24 CREDIT MIS'!N:N,'Aug Dashboard.'!$A$124)/100000</f>
        <v>0</v>
      </c>
      <c r="K111" s="24">
        <f>COUNTIFS('Aug-24 CREDIT MIS'!S:S,"Reject",'Aug-24 CREDIT MIS'!E:E,'Aug Dashboard.'!B111,'Aug-24 CREDIT MIS'!I:I,'Aug Dashboard.'!A111,'Aug-24 CREDIT MIS'!N:N,'Aug Dashboard.'!$A$124)</f>
        <v>0</v>
      </c>
      <c r="L111" s="24">
        <f>SUMIFS('Aug-24 CREDIT MIS'!T:T,'Aug-24 CREDIT MIS'!S:S,"Reject",'Aug-24 CREDIT MIS'!E:E,'Aug Dashboard.'!B111,'Aug-24 CREDIT MIS'!I:I,'Aug Dashboard.'!A111,'Aug-24 CREDIT MIS'!N:N,'Aug Dashboard.'!$A$124)/100000</f>
        <v>0</v>
      </c>
      <c r="M111" s="24">
        <f>COUNTIFS('Aug-24 CREDIT MIS'!S:S,"Recommend",'Aug-24 CREDIT MIS'!E:E,'Aug Dashboard.'!B111,'Aug-24 CREDIT MIS'!I:I,'Aug Dashboard.'!A111,'Aug-24 CREDIT MIS'!N:N,'Aug Dashboard.'!$A$124)</f>
        <v>0</v>
      </c>
      <c r="N111" s="24">
        <f>SUMIFS('Aug-24 CREDIT MIS'!T:T,'Aug-24 CREDIT MIS'!S:S,"Recommend",'Aug-24 CREDIT MIS'!E:E,'Aug Dashboard.'!B111,'Aug-24 CREDIT MIS'!I:I,'Aug Dashboard.'!A111,'Aug-24 CREDIT MIS'!N:N,'Aug Dashboard.'!$A$124)/100000</f>
        <v>0</v>
      </c>
      <c r="O111" s="24">
        <f>COUNTIFS('Aug-24 CREDIT MIS'!S:S,"Query- Sales",'Aug-24 CREDIT MIS'!E:E,'Aug Dashboard.'!B111,'Aug-24 CREDIT MIS'!I:I,'Aug Dashboard.'!A111,'Aug-24 CREDIT MIS'!N:N,'Aug Dashboard.'!$A$124)</f>
        <v>0</v>
      </c>
      <c r="P111" s="24">
        <f>SUMIFS('Aug-24 CREDIT MIS'!T:T,'Aug-24 CREDIT MIS'!S:S,"Query- Sales",'Aug-24 CREDIT MIS'!E:E,'Aug Dashboard.'!B111,'Aug-24 CREDIT MIS'!I:I,'Aug Dashboard.'!A111,'Aug-24 CREDIT MIS'!N:N,'Aug Dashboard.'!$A$124)/100000</f>
        <v>0</v>
      </c>
      <c r="Q111" s="24">
        <f>COUNTIFS('Aug-24 CREDIT MIS'!S:S,"WIP- Credit",'Aug-24 CREDIT MIS'!E:E,'Aug Dashboard.'!B111,'Aug-24 CREDIT MIS'!I:I,'Aug Dashboard.'!A111,'Aug-24 CREDIT MIS'!N:N,'Aug Dashboard.'!$A$124)</f>
        <v>0</v>
      </c>
      <c r="R111" s="24">
        <f>SUMIFS('Aug-24 CREDIT MIS'!T:T,'Aug-24 CREDIT MIS'!S:S,"WIP- Credit",'Aug-24 CREDIT MIS'!E:E,'Aug Dashboard.'!B111,'Aug-24 CREDIT MIS'!I:I,'Aug Dashboard.'!A111,'Aug-24 CREDIT MIS'!N:N,'Aug Dashboard.'!$A$124)/100000</f>
        <v>0</v>
      </c>
      <c r="S111" s="24">
        <f>COUNTIFS('Aug-24 CREDIT MIS'!S:S,"Visit Pending",'Aug-24 CREDIT MIS'!E:E,'Aug Dashboard.'!B111,'Aug-24 CREDIT MIS'!I:I,'Aug Dashboard.'!A111,'Aug-24 CREDIT MIS'!N:N,'Aug Dashboard.'!$A$124)</f>
        <v>0</v>
      </c>
      <c r="T111" s="24">
        <f>SUMIFS('Aug-24 CREDIT MIS'!T:T,'Aug-24 CREDIT MIS'!S:S,"Visit Pending",'Aug-24 CREDIT MIS'!E:E,'Aug Dashboard.'!B111,'Aug-24 CREDIT MIS'!I:I,'Aug Dashboard.'!A111,'Aug-24 CREDIT MIS'!N:N,'Aug Dashboard.'!$A$124)/100000</f>
        <v>0</v>
      </c>
    </row>
    <row r="112" spans="1:20" x14ac:dyDescent="0.25">
      <c r="A112" s="30" t="s">
        <v>132</v>
      </c>
      <c r="B112" s="25" t="s">
        <v>60</v>
      </c>
      <c r="C112" s="24">
        <f>COUNTIFS('Aug-24 CREDIT MIS'!C:C,"&lt;01-08-2024",'Aug-24 CREDIT MIS'!E:E,'Aug Dashboard.'!B112,'Aug-24 CREDIT MIS'!I:I,'Aug Dashboard.'!A112,'Aug-24 CREDIT MIS'!N:N,"Pradeep Kumar Rohlan")</f>
        <v>0</v>
      </c>
      <c r="D112" s="24">
        <f>SUMIFS('Aug-24 CREDIT MIS'!T:T,'Aug-24 CREDIT MIS'!C:C,"&lt;01-08-2024",'Aug-24 CREDIT MIS'!E:E,'Aug Dashboard.'!B112,'Aug-24 CREDIT MIS'!I:I,'Aug Dashboard.'!A112,'Aug-24 CREDIT MIS'!N:N,"Pradeep Kumar Rohlan")/100000</f>
        <v>0</v>
      </c>
      <c r="E112" s="24">
        <f>COUNTIFS('Aug-24 CREDIT MIS'!C:C,"&gt;=01-08-2024",'Aug-24 CREDIT MIS'!E:E,'Aug Dashboard.'!B112,'Aug-24 CREDIT MIS'!I:I,'Aug Dashboard.'!A112,'Aug-24 CREDIT MIS'!N:N,"Pradeep Kumar Rohlan")</f>
        <v>0</v>
      </c>
      <c r="F112" s="24">
        <f>SUMIFS('Aug-24 CREDIT MIS'!T:T,'Aug-24 CREDIT MIS'!C:C,"&gt;=01-08-2024",'Aug-24 CREDIT MIS'!E:E,'Aug Dashboard.'!B112,'Aug-24 CREDIT MIS'!I:I,'Aug Dashboard.'!A112,'Aug-24 CREDIT MIS'!N:N,"Pradeep Kumar Rohlan")/100000</f>
        <v>0</v>
      </c>
      <c r="G112" s="24">
        <f t="shared" si="39"/>
        <v>0</v>
      </c>
      <c r="H112" s="24">
        <f t="shared" si="40"/>
        <v>0</v>
      </c>
      <c r="I112" s="24">
        <f>COUNTIFS('Aug-24 CREDIT MIS'!S:S,"Sanction",'Aug-24 CREDIT MIS'!E:E,'Aug Dashboard.'!B112,'Aug-24 CREDIT MIS'!I:I,'Aug Dashboard.'!A112,'Aug-24 CREDIT MIS'!N:N,'Aug Dashboard.'!$A$124)+COUNTIFS('Aug-24 CREDIT MIS'!S:S,"Disbursed",'Aug-24 CREDIT MIS'!E:E,'Aug Dashboard.'!B112,'Aug-24 CREDIT MIS'!I:I,'Aug Dashboard.'!A112,'Aug-24 CREDIT MIS'!N:N,'Aug Dashboard.'!$A$124)</f>
        <v>0</v>
      </c>
      <c r="J112" s="24">
        <f>SUMIFS('Aug-24 CREDIT MIS'!V:V,'Aug-24 CREDIT MIS'!S:S,"Sanction",'Aug-24 CREDIT MIS'!E:E,'Aug Dashboard.'!B112,'Aug-24 CREDIT MIS'!I:I,'Aug Dashboard.'!A112,'Aug-24 CREDIT MIS'!N:N,'Aug Dashboard.'!$A$124)/100000+SUMIFS('Aug-24 CREDIT MIS'!V:V,'Aug-24 CREDIT MIS'!S:S,"Disbursed",'Aug-24 CREDIT MIS'!E:E,'Aug Dashboard.'!B112,'Aug-24 CREDIT MIS'!I:I,'Aug Dashboard.'!A112,'Aug-24 CREDIT MIS'!N:N,'Aug Dashboard.'!$A$124)/100000</f>
        <v>0</v>
      </c>
      <c r="K112" s="24">
        <f>COUNTIFS('Aug-24 CREDIT MIS'!S:S,"Reject",'Aug-24 CREDIT MIS'!E:E,'Aug Dashboard.'!B112,'Aug-24 CREDIT MIS'!I:I,'Aug Dashboard.'!A112,'Aug-24 CREDIT MIS'!N:N,'Aug Dashboard.'!$A$124)</f>
        <v>0</v>
      </c>
      <c r="L112" s="24">
        <f>SUMIFS('Aug-24 CREDIT MIS'!T:T,'Aug-24 CREDIT MIS'!S:S,"Reject",'Aug-24 CREDIT MIS'!E:E,'Aug Dashboard.'!B112,'Aug-24 CREDIT MIS'!I:I,'Aug Dashboard.'!A112,'Aug-24 CREDIT MIS'!N:N,'Aug Dashboard.'!$A$124)/100000</f>
        <v>0</v>
      </c>
      <c r="M112" s="24">
        <f>COUNTIFS('Aug-24 CREDIT MIS'!S:S,"Recommend",'Aug-24 CREDIT MIS'!E:E,'Aug Dashboard.'!B112,'Aug-24 CREDIT MIS'!I:I,'Aug Dashboard.'!A112,'Aug-24 CREDIT MIS'!N:N,'Aug Dashboard.'!$A$124)</f>
        <v>0</v>
      </c>
      <c r="N112" s="24">
        <f>SUMIFS('Aug-24 CREDIT MIS'!T:T,'Aug-24 CREDIT MIS'!S:S,"Recommend",'Aug-24 CREDIT MIS'!E:E,'Aug Dashboard.'!B112,'Aug-24 CREDIT MIS'!I:I,'Aug Dashboard.'!A112,'Aug-24 CREDIT MIS'!N:N,'Aug Dashboard.'!$A$124)/100000</f>
        <v>0</v>
      </c>
      <c r="O112" s="24">
        <f>COUNTIFS('Aug-24 CREDIT MIS'!S:S,"Query- Sales",'Aug-24 CREDIT MIS'!E:E,'Aug Dashboard.'!B112,'Aug-24 CREDIT MIS'!I:I,'Aug Dashboard.'!A112,'Aug-24 CREDIT MIS'!N:N,'Aug Dashboard.'!$A$124)</f>
        <v>0</v>
      </c>
      <c r="P112" s="24">
        <f>SUMIFS('Aug-24 CREDIT MIS'!T:T,'Aug-24 CREDIT MIS'!S:S,"Query- Sales",'Aug-24 CREDIT MIS'!E:E,'Aug Dashboard.'!B112,'Aug-24 CREDIT MIS'!I:I,'Aug Dashboard.'!A112,'Aug-24 CREDIT MIS'!N:N,'Aug Dashboard.'!$A$124)/100000</f>
        <v>0</v>
      </c>
      <c r="Q112" s="24">
        <f>COUNTIFS('Aug-24 CREDIT MIS'!S:S,"WIP- Credit",'Aug-24 CREDIT MIS'!E:E,'Aug Dashboard.'!B112,'Aug-24 CREDIT MIS'!I:I,'Aug Dashboard.'!A112,'Aug-24 CREDIT MIS'!N:N,'Aug Dashboard.'!$A$124)</f>
        <v>0</v>
      </c>
      <c r="R112" s="24">
        <f>SUMIFS('Aug-24 CREDIT MIS'!T:T,'Aug-24 CREDIT MIS'!S:S,"WIP- Credit",'Aug-24 CREDIT MIS'!E:E,'Aug Dashboard.'!B112,'Aug-24 CREDIT MIS'!I:I,'Aug Dashboard.'!A112,'Aug-24 CREDIT MIS'!N:N,'Aug Dashboard.'!$A$124)/100000</f>
        <v>0</v>
      </c>
      <c r="S112" s="24">
        <f>COUNTIFS('Aug-24 CREDIT MIS'!S:S,"Visit Pending",'Aug-24 CREDIT MIS'!E:E,'Aug Dashboard.'!B112,'Aug-24 CREDIT MIS'!I:I,'Aug Dashboard.'!A112,'Aug-24 CREDIT MIS'!N:N,'Aug Dashboard.'!$A$124)</f>
        <v>0</v>
      </c>
      <c r="T112" s="24">
        <f>SUMIFS('Aug-24 CREDIT MIS'!T:T,'Aug-24 CREDIT MIS'!S:S,"Visit Pending",'Aug-24 CREDIT MIS'!E:E,'Aug Dashboard.'!B112,'Aug-24 CREDIT MIS'!I:I,'Aug Dashboard.'!A112,'Aug-24 CREDIT MIS'!N:N,'Aug Dashboard.'!$A$124)/100000</f>
        <v>0</v>
      </c>
    </row>
    <row r="113" spans="1:20" x14ac:dyDescent="0.25">
      <c r="A113" s="30" t="s">
        <v>208</v>
      </c>
      <c r="B113" s="25" t="s">
        <v>60</v>
      </c>
      <c r="C113" s="24">
        <f>COUNTIFS('Aug-24 CREDIT MIS'!C:C,"&lt;01-08-2024",'Aug-24 CREDIT MIS'!E:E,'Aug Dashboard.'!B113,'Aug-24 CREDIT MIS'!I:I,'Aug Dashboard.'!A113,'Aug-24 CREDIT MIS'!N:N,"Pradeep Kumar Rohlan")</f>
        <v>0</v>
      </c>
      <c r="D113" s="24">
        <f>SUMIFS('Aug-24 CREDIT MIS'!T:T,'Aug-24 CREDIT MIS'!C:C,"&lt;01-08-2024",'Aug-24 CREDIT MIS'!E:E,'Aug Dashboard.'!B113,'Aug-24 CREDIT MIS'!I:I,'Aug Dashboard.'!A113,'Aug-24 CREDIT MIS'!N:N,"Pradeep Kumar Rohlan")/100000</f>
        <v>0</v>
      </c>
      <c r="E113" s="24">
        <f>COUNTIFS('Aug-24 CREDIT MIS'!C:C,"&gt;=01-08-2024",'Aug-24 CREDIT MIS'!E:E,'Aug Dashboard.'!B113,'Aug-24 CREDIT MIS'!I:I,'Aug Dashboard.'!A113,'Aug-24 CREDIT MIS'!N:N,"Pradeep Kumar Rohlan")</f>
        <v>0</v>
      </c>
      <c r="F113" s="24">
        <f>SUMIFS('Aug-24 CREDIT MIS'!T:T,'Aug-24 CREDIT MIS'!C:C,"&gt;=01-08-2024",'Aug-24 CREDIT MIS'!E:E,'Aug Dashboard.'!B113,'Aug-24 CREDIT MIS'!I:I,'Aug Dashboard.'!A113,'Aug-24 CREDIT MIS'!N:N,"Pradeep Kumar Rohlan")/100000</f>
        <v>0</v>
      </c>
      <c r="G113" s="24">
        <f t="shared" si="39"/>
        <v>0</v>
      </c>
      <c r="H113" s="24">
        <f t="shared" si="40"/>
        <v>0</v>
      </c>
      <c r="I113" s="24">
        <f>COUNTIFS('Aug-24 CREDIT MIS'!S:S,"Sanction",'Aug-24 CREDIT MIS'!E:E,'Aug Dashboard.'!B113,'Aug-24 CREDIT MIS'!I:I,'Aug Dashboard.'!A113,'Aug-24 CREDIT MIS'!N:N,'Aug Dashboard.'!$A$124)+COUNTIFS('Aug-24 CREDIT MIS'!S:S,"Disbursed",'Aug-24 CREDIT MIS'!E:E,'Aug Dashboard.'!B113,'Aug-24 CREDIT MIS'!I:I,'Aug Dashboard.'!A113,'Aug-24 CREDIT MIS'!N:N,'Aug Dashboard.'!$A$124)</f>
        <v>0</v>
      </c>
      <c r="J113" s="24">
        <f>SUMIFS('Aug-24 CREDIT MIS'!V:V,'Aug-24 CREDIT MIS'!S:S,"Sanction",'Aug-24 CREDIT MIS'!E:E,'Aug Dashboard.'!B113,'Aug-24 CREDIT MIS'!I:I,'Aug Dashboard.'!A113,'Aug-24 CREDIT MIS'!N:N,'Aug Dashboard.'!$A$124)/100000+SUMIFS('Aug-24 CREDIT MIS'!V:V,'Aug-24 CREDIT MIS'!S:S,"Disbursed",'Aug-24 CREDIT MIS'!E:E,'Aug Dashboard.'!B113,'Aug-24 CREDIT MIS'!I:I,'Aug Dashboard.'!A113,'Aug-24 CREDIT MIS'!N:N,'Aug Dashboard.'!$A$124)/100000</f>
        <v>0</v>
      </c>
      <c r="K113" s="24">
        <f>COUNTIFS('Aug-24 CREDIT MIS'!S:S,"Reject",'Aug-24 CREDIT MIS'!E:E,'Aug Dashboard.'!B113,'Aug-24 CREDIT MIS'!I:I,'Aug Dashboard.'!A113,'Aug-24 CREDIT MIS'!N:N,'Aug Dashboard.'!$A$124)</f>
        <v>0</v>
      </c>
      <c r="L113" s="24">
        <f>SUMIFS('Aug-24 CREDIT MIS'!T:T,'Aug-24 CREDIT MIS'!S:S,"Reject",'Aug-24 CREDIT MIS'!E:E,'Aug Dashboard.'!B113,'Aug-24 CREDIT MIS'!I:I,'Aug Dashboard.'!A113,'Aug-24 CREDIT MIS'!N:N,'Aug Dashboard.'!$A$124)/100000</f>
        <v>0</v>
      </c>
      <c r="M113" s="24">
        <f>COUNTIFS('Aug-24 CREDIT MIS'!S:S,"Recommend",'Aug-24 CREDIT MIS'!E:E,'Aug Dashboard.'!B113,'Aug-24 CREDIT MIS'!I:I,'Aug Dashboard.'!A113,'Aug-24 CREDIT MIS'!N:N,'Aug Dashboard.'!$A$124)</f>
        <v>0</v>
      </c>
      <c r="N113" s="24">
        <f>SUMIFS('Aug-24 CREDIT MIS'!T:T,'Aug-24 CREDIT MIS'!S:S,"Recommend",'Aug-24 CREDIT MIS'!E:E,'Aug Dashboard.'!B113,'Aug-24 CREDIT MIS'!I:I,'Aug Dashboard.'!A113,'Aug-24 CREDIT MIS'!N:N,'Aug Dashboard.'!$A$124)/100000</f>
        <v>0</v>
      </c>
      <c r="O113" s="24">
        <f>COUNTIFS('Aug-24 CREDIT MIS'!S:S,"Query- Sales",'Aug-24 CREDIT MIS'!E:E,'Aug Dashboard.'!B113,'Aug-24 CREDIT MIS'!I:I,'Aug Dashboard.'!A113,'Aug-24 CREDIT MIS'!N:N,'Aug Dashboard.'!$A$124)</f>
        <v>0</v>
      </c>
      <c r="P113" s="24">
        <f>SUMIFS('Aug-24 CREDIT MIS'!T:T,'Aug-24 CREDIT MIS'!S:S,"Query- Sales",'Aug-24 CREDIT MIS'!E:E,'Aug Dashboard.'!B113,'Aug-24 CREDIT MIS'!I:I,'Aug Dashboard.'!A113,'Aug-24 CREDIT MIS'!N:N,'Aug Dashboard.'!$A$124)/100000</f>
        <v>0</v>
      </c>
      <c r="Q113" s="24">
        <f>COUNTIFS('Aug-24 CREDIT MIS'!S:S,"WIP- Credit",'Aug-24 CREDIT MIS'!E:E,'Aug Dashboard.'!B113,'Aug-24 CREDIT MIS'!I:I,'Aug Dashboard.'!A113,'Aug-24 CREDIT MIS'!N:N,'Aug Dashboard.'!$A$124)</f>
        <v>0</v>
      </c>
      <c r="R113" s="24">
        <f>SUMIFS('Aug-24 CREDIT MIS'!T:T,'Aug-24 CREDIT MIS'!S:S,"WIP- Credit",'Aug-24 CREDIT MIS'!E:E,'Aug Dashboard.'!B113,'Aug-24 CREDIT MIS'!I:I,'Aug Dashboard.'!A113,'Aug-24 CREDIT MIS'!N:N,'Aug Dashboard.'!$A$124)/100000</f>
        <v>0</v>
      </c>
      <c r="S113" s="24">
        <f>COUNTIFS('Aug-24 CREDIT MIS'!S:S,"Visit Pending",'Aug-24 CREDIT MIS'!E:E,'Aug Dashboard.'!B113,'Aug-24 CREDIT MIS'!I:I,'Aug Dashboard.'!A113,'Aug-24 CREDIT MIS'!N:N,'Aug Dashboard.'!$A$124)</f>
        <v>0</v>
      </c>
      <c r="T113" s="24">
        <f>SUMIFS('Aug-24 CREDIT MIS'!T:T,'Aug-24 CREDIT MIS'!S:S,"Visit Pending",'Aug-24 CREDIT MIS'!E:E,'Aug Dashboard.'!B113,'Aug-24 CREDIT MIS'!I:I,'Aug Dashboard.'!A113,'Aug-24 CREDIT MIS'!N:N,'Aug Dashboard.'!$A$124)/100000</f>
        <v>0</v>
      </c>
    </row>
    <row r="114" spans="1:20" x14ac:dyDescent="0.25">
      <c r="A114" t="s">
        <v>502</v>
      </c>
      <c r="B114" s="25" t="s">
        <v>60</v>
      </c>
      <c r="C114" s="24">
        <f>COUNTIFS('Aug-24 CREDIT MIS'!C:C,"&lt;01-08-2024",'Aug-24 CREDIT MIS'!E:E,'Aug Dashboard.'!B114,'Aug-24 CREDIT MIS'!I:I,'Aug Dashboard.'!A114,'Aug-24 CREDIT MIS'!N:N,"Pradeep Kumar Rohlan")</f>
        <v>0</v>
      </c>
      <c r="D114" s="24">
        <f>SUMIFS('Aug-24 CREDIT MIS'!T:T,'Aug-24 CREDIT MIS'!C:C,"&lt;01-08-2024",'Aug-24 CREDIT MIS'!E:E,'Aug Dashboard.'!B114,'Aug-24 CREDIT MIS'!I:I,'Aug Dashboard.'!A114,'Aug-24 CREDIT MIS'!N:N,"Pradeep Kumar Rohlan")/100000</f>
        <v>0</v>
      </c>
      <c r="E114" s="24">
        <f>COUNTIFS('Aug-24 CREDIT MIS'!C:C,"&gt;=01-08-2024",'Aug-24 CREDIT MIS'!E:E,'Aug Dashboard.'!B114,'Aug-24 CREDIT MIS'!I:I,'Aug Dashboard.'!A114,'Aug-24 CREDIT MIS'!N:N,"Pradeep Kumar Rohlan")</f>
        <v>2</v>
      </c>
      <c r="F114" s="24">
        <f>SUMIFS('Aug-24 CREDIT MIS'!T:T,'Aug-24 CREDIT MIS'!C:C,"&gt;=01-08-2024",'Aug-24 CREDIT MIS'!E:E,'Aug Dashboard.'!B114,'Aug-24 CREDIT MIS'!I:I,'Aug Dashboard.'!A114,'Aug-24 CREDIT MIS'!N:N,"Pradeep Kumar Rohlan")/100000</f>
        <v>13</v>
      </c>
      <c r="G114" s="24">
        <f t="shared" si="39"/>
        <v>2</v>
      </c>
      <c r="H114" s="24">
        <f t="shared" si="40"/>
        <v>13</v>
      </c>
      <c r="I114" s="24">
        <f>COUNTIFS('Aug-24 CREDIT MIS'!S:S,"Sanction",'Aug-24 CREDIT MIS'!E:E,'Aug Dashboard.'!B114,'Aug-24 CREDIT MIS'!I:I,'Aug Dashboard.'!A114,'Aug-24 CREDIT MIS'!N:N,'Aug Dashboard.'!$A$124)+COUNTIFS('Aug-24 CREDIT MIS'!S:S,"Disbursed",'Aug-24 CREDIT MIS'!E:E,'Aug Dashboard.'!B114,'Aug-24 CREDIT MIS'!I:I,'Aug Dashboard.'!A114,'Aug-24 CREDIT MIS'!N:N,'Aug Dashboard.'!$A$124)</f>
        <v>0</v>
      </c>
      <c r="J114" s="24">
        <f>SUMIFS('Aug-24 CREDIT MIS'!V:V,'Aug-24 CREDIT MIS'!S:S,"Sanction",'Aug-24 CREDIT MIS'!E:E,'Aug Dashboard.'!B114,'Aug-24 CREDIT MIS'!I:I,'Aug Dashboard.'!A114,'Aug-24 CREDIT MIS'!N:N,'Aug Dashboard.'!$A$124)/100000+SUMIFS('Aug-24 CREDIT MIS'!V:V,'Aug-24 CREDIT MIS'!S:S,"Disbursed",'Aug-24 CREDIT MIS'!E:E,'Aug Dashboard.'!B114,'Aug-24 CREDIT MIS'!I:I,'Aug Dashboard.'!A114,'Aug-24 CREDIT MIS'!N:N,'Aug Dashboard.'!$A$124)/100000</f>
        <v>0</v>
      </c>
      <c r="K114" s="24">
        <f>COUNTIFS('Aug-24 CREDIT MIS'!S:S,"Reject",'Aug-24 CREDIT MIS'!E:E,'Aug Dashboard.'!B114,'Aug-24 CREDIT MIS'!I:I,'Aug Dashboard.'!A114,'Aug-24 CREDIT MIS'!N:N,'Aug Dashboard.'!$A$124)</f>
        <v>1</v>
      </c>
      <c r="L114" s="24">
        <f>SUMIFS('Aug-24 CREDIT MIS'!T:T,'Aug-24 CREDIT MIS'!S:S,"Reject",'Aug-24 CREDIT MIS'!E:E,'Aug Dashboard.'!B114,'Aug-24 CREDIT MIS'!I:I,'Aug Dashboard.'!A114,'Aug-24 CREDIT MIS'!N:N,'Aug Dashboard.'!$A$124)/100000</f>
        <v>5</v>
      </c>
      <c r="M114" s="24">
        <f>COUNTIFS('Aug-24 CREDIT MIS'!S:S,"Recommend",'Aug-24 CREDIT MIS'!E:E,'Aug Dashboard.'!B114,'Aug-24 CREDIT MIS'!I:I,'Aug Dashboard.'!A114,'Aug-24 CREDIT MIS'!N:N,'Aug Dashboard.'!$A$124)</f>
        <v>0</v>
      </c>
      <c r="N114" s="24">
        <f>SUMIFS('Aug-24 CREDIT MIS'!T:T,'Aug-24 CREDIT MIS'!S:S,"Recommend",'Aug-24 CREDIT MIS'!E:E,'Aug Dashboard.'!B114,'Aug-24 CREDIT MIS'!I:I,'Aug Dashboard.'!A114,'Aug-24 CREDIT MIS'!N:N,'Aug Dashboard.'!$A$124)/100000</f>
        <v>0</v>
      </c>
      <c r="O114" s="24">
        <f>COUNTIFS('Aug-24 CREDIT MIS'!S:S,"Query- Sales",'Aug-24 CREDIT MIS'!E:E,'Aug Dashboard.'!B114,'Aug-24 CREDIT MIS'!I:I,'Aug Dashboard.'!A114,'Aug-24 CREDIT MIS'!N:N,'Aug Dashboard.'!$A$124)</f>
        <v>1</v>
      </c>
      <c r="P114" s="24">
        <f>SUMIFS('Aug-24 CREDIT MIS'!T:T,'Aug-24 CREDIT MIS'!S:S,"Query- Sales",'Aug-24 CREDIT MIS'!E:E,'Aug Dashboard.'!B114,'Aug-24 CREDIT MIS'!I:I,'Aug Dashboard.'!A114,'Aug-24 CREDIT MIS'!N:N,'Aug Dashboard.'!$A$124)/100000</f>
        <v>8</v>
      </c>
      <c r="Q114" s="24">
        <f>COUNTIFS('Aug-24 CREDIT MIS'!S:S,"WIP- Credit",'Aug-24 CREDIT MIS'!E:E,'Aug Dashboard.'!B114,'Aug-24 CREDIT MIS'!I:I,'Aug Dashboard.'!A114,'Aug-24 CREDIT MIS'!N:N,'Aug Dashboard.'!$A$124)</f>
        <v>0</v>
      </c>
      <c r="R114" s="24">
        <f>SUMIFS('Aug-24 CREDIT MIS'!T:T,'Aug-24 CREDIT MIS'!S:S,"WIP- Credit",'Aug-24 CREDIT MIS'!E:E,'Aug Dashboard.'!B114,'Aug-24 CREDIT MIS'!I:I,'Aug Dashboard.'!A114,'Aug-24 CREDIT MIS'!N:N,'Aug Dashboard.'!$A$124)/100000</f>
        <v>0</v>
      </c>
      <c r="S114" s="24">
        <f>COUNTIFS('Aug-24 CREDIT MIS'!S:S,"Visit Pending",'Aug-24 CREDIT MIS'!E:E,'Aug Dashboard.'!B114,'Aug-24 CREDIT MIS'!I:I,'Aug Dashboard.'!A114,'Aug-24 CREDIT MIS'!N:N,'Aug Dashboard.'!$A$124)</f>
        <v>0</v>
      </c>
      <c r="T114" s="24">
        <f>SUMIFS('Aug-24 CREDIT MIS'!T:T,'Aug-24 CREDIT MIS'!S:S,"Visit Pending",'Aug-24 CREDIT MIS'!E:E,'Aug Dashboard.'!B114,'Aug-24 CREDIT MIS'!I:I,'Aug Dashboard.'!A114,'Aug-24 CREDIT MIS'!N:N,'Aug Dashboard.'!$A$124)/100000</f>
        <v>0</v>
      </c>
    </row>
    <row r="115" spans="1:20" x14ac:dyDescent="0.25">
      <c r="A115" s="30" t="s">
        <v>207</v>
      </c>
      <c r="B115" s="25" t="s">
        <v>60</v>
      </c>
      <c r="C115" s="24">
        <f>COUNTIFS('Aug-24 CREDIT MIS'!C:C,"&lt;01-08-2024",'Aug-24 CREDIT MIS'!E:E,'Aug Dashboard.'!B115,'Aug-24 CREDIT MIS'!I:I,'Aug Dashboard.'!A115,'Aug-24 CREDIT MIS'!N:N,"Pradeep Kumar Rohlan")</f>
        <v>0</v>
      </c>
      <c r="D115" s="24">
        <f>SUMIFS('Aug-24 CREDIT MIS'!T:T,'Aug-24 CREDIT MIS'!C:C,"&lt;01-08-2024",'Aug-24 CREDIT MIS'!E:E,'Aug Dashboard.'!B115,'Aug-24 CREDIT MIS'!I:I,'Aug Dashboard.'!A115,'Aug-24 CREDIT MIS'!N:N,"Pradeep Kumar Rohlan")/100000</f>
        <v>0</v>
      </c>
      <c r="E115" s="24">
        <f>COUNTIFS('Aug-24 CREDIT MIS'!C:C,"&gt;=01-08-2024",'Aug-24 CREDIT MIS'!E:E,'Aug Dashboard.'!B115,'Aug-24 CREDIT MIS'!I:I,'Aug Dashboard.'!A115,'Aug-24 CREDIT MIS'!N:N,"Pradeep Kumar Rohlan")</f>
        <v>1</v>
      </c>
      <c r="F115" s="24">
        <f>SUMIFS('Aug-24 CREDIT MIS'!T:T,'Aug-24 CREDIT MIS'!C:C,"&gt;=01-08-2024",'Aug-24 CREDIT MIS'!E:E,'Aug Dashboard.'!B115,'Aug-24 CREDIT MIS'!I:I,'Aug Dashboard.'!A115,'Aug-24 CREDIT MIS'!N:N,"Pradeep Kumar Rohlan")/100000</f>
        <v>9</v>
      </c>
      <c r="G115" s="24">
        <f t="shared" si="39"/>
        <v>1</v>
      </c>
      <c r="H115" s="24">
        <f t="shared" si="40"/>
        <v>9</v>
      </c>
      <c r="I115" s="24">
        <f>COUNTIFS('Aug-24 CREDIT MIS'!S:S,"Sanction",'Aug-24 CREDIT MIS'!E:E,'Aug Dashboard.'!B115,'Aug-24 CREDIT MIS'!I:I,'Aug Dashboard.'!A115,'Aug-24 CREDIT MIS'!N:N,'Aug Dashboard.'!$A$124)+COUNTIFS('Aug-24 CREDIT MIS'!S:S,"Disbursed",'Aug-24 CREDIT MIS'!E:E,'Aug Dashboard.'!B115,'Aug-24 CREDIT MIS'!I:I,'Aug Dashboard.'!A115,'Aug-24 CREDIT MIS'!N:N,'Aug Dashboard.'!$A$124)</f>
        <v>0</v>
      </c>
      <c r="J115" s="24">
        <f>SUMIFS('Aug-24 CREDIT MIS'!V:V,'Aug-24 CREDIT MIS'!S:S,"Sanction",'Aug-24 CREDIT MIS'!E:E,'Aug Dashboard.'!B115,'Aug-24 CREDIT MIS'!I:I,'Aug Dashboard.'!A115,'Aug-24 CREDIT MIS'!N:N,'Aug Dashboard.'!$A$124)/100000+SUMIFS('Aug-24 CREDIT MIS'!V:V,'Aug-24 CREDIT MIS'!S:S,"Disbursed",'Aug-24 CREDIT MIS'!E:E,'Aug Dashboard.'!B115,'Aug-24 CREDIT MIS'!I:I,'Aug Dashboard.'!A115,'Aug-24 CREDIT MIS'!N:N,'Aug Dashboard.'!$A$124)/100000</f>
        <v>0</v>
      </c>
      <c r="K115" s="24">
        <f>COUNTIFS('Aug-24 CREDIT MIS'!S:S,"Reject",'Aug-24 CREDIT MIS'!E:E,'Aug Dashboard.'!B115,'Aug-24 CREDIT MIS'!I:I,'Aug Dashboard.'!A115,'Aug-24 CREDIT MIS'!N:N,'Aug Dashboard.'!$A$124)</f>
        <v>0</v>
      </c>
      <c r="L115" s="24">
        <f>SUMIFS('Aug-24 CREDIT MIS'!T:T,'Aug-24 CREDIT MIS'!S:S,"Reject",'Aug-24 CREDIT MIS'!E:E,'Aug Dashboard.'!B115,'Aug-24 CREDIT MIS'!I:I,'Aug Dashboard.'!A115,'Aug-24 CREDIT MIS'!N:N,'Aug Dashboard.'!$A$124)/100000</f>
        <v>0</v>
      </c>
      <c r="M115" s="24">
        <f>COUNTIFS('Aug-24 CREDIT MIS'!S:S,"Recommend",'Aug-24 CREDIT MIS'!E:E,'Aug Dashboard.'!B115,'Aug-24 CREDIT MIS'!I:I,'Aug Dashboard.'!A115,'Aug-24 CREDIT MIS'!N:N,'Aug Dashboard.'!$A$124)</f>
        <v>0</v>
      </c>
      <c r="N115" s="24">
        <f>SUMIFS('Aug-24 CREDIT MIS'!T:T,'Aug-24 CREDIT MIS'!S:S,"Recommend",'Aug-24 CREDIT MIS'!E:E,'Aug Dashboard.'!B115,'Aug-24 CREDIT MIS'!I:I,'Aug Dashboard.'!A115,'Aug-24 CREDIT MIS'!N:N,'Aug Dashboard.'!$A$124)/100000</f>
        <v>0</v>
      </c>
      <c r="O115" s="24">
        <f>COUNTIFS('Aug-24 CREDIT MIS'!S:S,"Query- Sales",'Aug-24 CREDIT MIS'!E:E,'Aug Dashboard.'!B115,'Aug-24 CREDIT MIS'!I:I,'Aug Dashboard.'!A115,'Aug-24 CREDIT MIS'!N:N,'Aug Dashboard.'!$A$124)</f>
        <v>1</v>
      </c>
      <c r="P115" s="24">
        <f>SUMIFS('Aug-24 CREDIT MIS'!T:T,'Aug-24 CREDIT MIS'!S:S,"Query- Sales",'Aug-24 CREDIT MIS'!E:E,'Aug Dashboard.'!B115,'Aug-24 CREDIT MIS'!I:I,'Aug Dashboard.'!A115,'Aug-24 CREDIT MIS'!N:N,'Aug Dashboard.'!$A$124)/100000</f>
        <v>9</v>
      </c>
      <c r="Q115" s="24">
        <f>COUNTIFS('Aug-24 CREDIT MIS'!S:S,"WIP- Credit",'Aug-24 CREDIT MIS'!E:E,'Aug Dashboard.'!B115,'Aug-24 CREDIT MIS'!I:I,'Aug Dashboard.'!A115,'Aug-24 CREDIT MIS'!N:N,'Aug Dashboard.'!$A$124)</f>
        <v>0</v>
      </c>
      <c r="R115" s="24">
        <f>SUMIFS('Aug-24 CREDIT MIS'!T:T,'Aug-24 CREDIT MIS'!S:S,"WIP- Credit",'Aug-24 CREDIT MIS'!E:E,'Aug Dashboard.'!B115,'Aug-24 CREDIT MIS'!I:I,'Aug Dashboard.'!A115,'Aug-24 CREDIT MIS'!N:N,'Aug Dashboard.'!$A$124)/100000</f>
        <v>0</v>
      </c>
      <c r="S115" s="24">
        <f>COUNTIFS('Aug-24 CREDIT MIS'!S:S,"Visit Pending",'Aug-24 CREDIT MIS'!E:E,'Aug Dashboard.'!B115,'Aug-24 CREDIT MIS'!I:I,'Aug Dashboard.'!A115,'Aug-24 CREDIT MIS'!N:N,'Aug Dashboard.'!$A$124)</f>
        <v>0</v>
      </c>
      <c r="T115" s="24">
        <f>SUMIFS('Aug-24 CREDIT MIS'!T:T,'Aug-24 CREDIT MIS'!S:S,"Visit Pending",'Aug-24 CREDIT MIS'!E:E,'Aug Dashboard.'!B115,'Aug-24 CREDIT MIS'!I:I,'Aug Dashboard.'!A115,'Aug-24 CREDIT MIS'!N:N,'Aug Dashboard.'!$A$124)/100000</f>
        <v>0</v>
      </c>
    </row>
    <row r="116" spans="1:20" x14ac:dyDescent="0.25">
      <c r="A116" s="30" t="s">
        <v>206</v>
      </c>
      <c r="B116" s="30" t="s">
        <v>33</v>
      </c>
      <c r="C116" s="24">
        <f>COUNTIFS('Aug-24 CREDIT MIS'!C:C,"&lt;01-08-2024",'Aug-24 CREDIT MIS'!E:E,'Aug Dashboard.'!B116,'Aug-24 CREDIT MIS'!I:I,'Aug Dashboard.'!A116,'Aug-24 CREDIT MIS'!N:N,"Pradeep Kumar Rohlan")</f>
        <v>0</v>
      </c>
      <c r="D116" s="24">
        <f>SUMIFS('Aug-24 CREDIT MIS'!T:T,'Aug-24 CREDIT MIS'!C:C,"&lt;01-08-2024",'Aug-24 CREDIT MIS'!E:E,'Aug Dashboard.'!B116,'Aug-24 CREDIT MIS'!I:I,'Aug Dashboard.'!A116,'Aug-24 CREDIT MIS'!N:N,"Pradeep Kumar Rohlan")/100000</f>
        <v>0</v>
      </c>
      <c r="E116" s="24">
        <f>COUNTIFS('Aug-24 CREDIT MIS'!C:C,"&gt;=01-08-2024",'Aug-24 CREDIT MIS'!E:E,'Aug Dashboard.'!B116,'Aug-24 CREDIT MIS'!I:I,'Aug Dashboard.'!A116,'Aug-24 CREDIT MIS'!N:N,"Pradeep Kumar Rohlan")</f>
        <v>2</v>
      </c>
      <c r="F116" s="24">
        <f>SUMIFS('Aug-24 CREDIT MIS'!T:T,'Aug-24 CREDIT MIS'!C:C,"&gt;=01-08-2024",'Aug-24 CREDIT MIS'!E:E,'Aug Dashboard.'!B116,'Aug-24 CREDIT MIS'!I:I,'Aug Dashboard.'!A116,'Aug-24 CREDIT MIS'!N:N,"Pradeep Kumar Rohlan")/100000</f>
        <v>9.5</v>
      </c>
      <c r="G116" s="24">
        <f t="shared" si="39"/>
        <v>2</v>
      </c>
      <c r="H116" s="24">
        <f t="shared" si="40"/>
        <v>9.5</v>
      </c>
      <c r="I116" s="24">
        <f>COUNTIFS('Aug-24 CREDIT MIS'!S:S,"Sanction",'Aug-24 CREDIT MIS'!E:E,'Aug Dashboard.'!B116,'Aug-24 CREDIT MIS'!I:I,'Aug Dashboard.'!A116,'Aug-24 CREDIT MIS'!N:N,'Aug Dashboard.'!$A$124)+COUNTIFS('Aug-24 CREDIT MIS'!S:S,"Disbursed",'Aug-24 CREDIT MIS'!E:E,'Aug Dashboard.'!B116,'Aug-24 CREDIT MIS'!I:I,'Aug Dashboard.'!A116,'Aug-24 CREDIT MIS'!N:N,'Aug Dashboard.'!$A$124)</f>
        <v>0</v>
      </c>
      <c r="J116" s="24">
        <f>SUMIFS('Aug-24 CREDIT MIS'!V:V,'Aug-24 CREDIT MIS'!S:S,"Sanction",'Aug-24 CREDIT MIS'!E:E,'Aug Dashboard.'!B116,'Aug-24 CREDIT MIS'!I:I,'Aug Dashboard.'!A116,'Aug-24 CREDIT MIS'!N:N,'Aug Dashboard.'!$A$124)/100000+SUMIFS('Aug-24 CREDIT MIS'!V:V,'Aug-24 CREDIT MIS'!S:S,"Disbursed",'Aug-24 CREDIT MIS'!E:E,'Aug Dashboard.'!B116,'Aug-24 CREDIT MIS'!I:I,'Aug Dashboard.'!A116,'Aug-24 CREDIT MIS'!N:N,'Aug Dashboard.'!$A$124)/100000</f>
        <v>0</v>
      </c>
      <c r="K116" s="24">
        <f>COUNTIFS('Aug-24 CREDIT MIS'!S:S,"Reject",'Aug-24 CREDIT MIS'!E:E,'Aug Dashboard.'!B116,'Aug-24 CREDIT MIS'!I:I,'Aug Dashboard.'!A116,'Aug-24 CREDIT MIS'!N:N,'Aug Dashboard.'!$A$124)</f>
        <v>1</v>
      </c>
      <c r="L116" s="24">
        <f>SUMIFS('Aug-24 CREDIT MIS'!T:T,'Aug-24 CREDIT MIS'!S:S,"Reject",'Aug-24 CREDIT MIS'!E:E,'Aug Dashboard.'!B116,'Aug-24 CREDIT MIS'!I:I,'Aug Dashboard.'!A116,'Aug-24 CREDIT MIS'!N:N,'Aug Dashboard.'!$A$124)/100000</f>
        <v>5</v>
      </c>
      <c r="M116" s="24">
        <f>COUNTIFS('Aug-24 CREDIT MIS'!S:S,"Recommend",'Aug-24 CREDIT MIS'!E:E,'Aug Dashboard.'!B116,'Aug-24 CREDIT MIS'!I:I,'Aug Dashboard.'!A116,'Aug-24 CREDIT MIS'!N:N,'Aug Dashboard.'!$A$124)</f>
        <v>0</v>
      </c>
      <c r="N116" s="24">
        <f>SUMIFS('Aug-24 CREDIT MIS'!T:T,'Aug-24 CREDIT MIS'!S:S,"Recommend",'Aug-24 CREDIT MIS'!E:E,'Aug Dashboard.'!B116,'Aug-24 CREDIT MIS'!I:I,'Aug Dashboard.'!A116,'Aug-24 CREDIT MIS'!N:N,'Aug Dashboard.'!$A$124)/100000</f>
        <v>0</v>
      </c>
      <c r="O116" s="24">
        <f>COUNTIFS('Aug-24 CREDIT MIS'!S:S,"Query- Sales",'Aug-24 CREDIT MIS'!E:E,'Aug Dashboard.'!B116,'Aug-24 CREDIT MIS'!I:I,'Aug Dashboard.'!A116,'Aug-24 CREDIT MIS'!N:N,'Aug Dashboard.'!$A$124)</f>
        <v>0</v>
      </c>
      <c r="P116" s="24">
        <f>SUMIFS('Aug-24 CREDIT MIS'!T:T,'Aug-24 CREDIT MIS'!S:S,"Query- Sales",'Aug-24 CREDIT MIS'!E:E,'Aug Dashboard.'!B116,'Aug-24 CREDIT MIS'!I:I,'Aug Dashboard.'!A116,'Aug-24 CREDIT MIS'!N:N,'Aug Dashboard.'!$A$124)/100000</f>
        <v>0</v>
      </c>
      <c r="Q116" s="24">
        <f>COUNTIFS('Aug-24 CREDIT MIS'!S:S,"WIP- Credit",'Aug-24 CREDIT MIS'!E:E,'Aug Dashboard.'!B116,'Aug-24 CREDIT MIS'!I:I,'Aug Dashboard.'!A116,'Aug-24 CREDIT MIS'!N:N,'Aug Dashboard.'!$A$124)</f>
        <v>1</v>
      </c>
      <c r="R116" s="24">
        <f>SUMIFS('Aug-24 CREDIT MIS'!T:T,'Aug-24 CREDIT MIS'!S:S,"WIP- Credit",'Aug-24 CREDIT MIS'!E:E,'Aug Dashboard.'!B116,'Aug-24 CREDIT MIS'!I:I,'Aug Dashboard.'!A116,'Aug-24 CREDIT MIS'!N:N,'Aug Dashboard.'!$A$124)/100000</f>
        <v>4.5</v>
      </c>
      <c r="S116" s="24">
        <f>COUNTIFS('Aug-24 CREDIT MIS'!S:S,"Visit Pending",'Aug-24 CREDIT MIS'!E:E,'Aug Dashboard.'!B116,'Aug-24 CREDIT MIS'!I:I,'Aug Dashboard.'!A116,'Aug-24 CREDIT MIS'!N:N,'Aug Dashboard.'!$A$124)</f>
        <v>0</v>
      </c>
      <c r="T116" s="24">
        <f>SUMIFS('Aug-24 CREDIT MIS'!T:T,'Aug-24 CREDIT MIS'!S:S,"Visit Pending",'Aug-24 CREDIT MIS'!E:E,'Aug Dashboard.'!B116,'Aug-24 CREDIT MIS'!I:I,'Aug Dashboard.'!A116,'Aug-24 CREDIT MIS'!N:N,'Aug Dashboard.'!$A$124)/100000</f>
        <v>0</v>
      </c>
    </row>
    <row r="117" spans="1:20" x14ac:dyDescent="0.25">
      <c r="A117" s="30" t="s">
        <v>131</v>
      </c>
      <c r="B117" s="25" t="s">
        <v>2</v>
      </c>
      <c r="C117" s="24">
        <f>COUNTIFS('Aug-24 CREDIT MIS'!C:C,"&lt;01-08-2024",'Aug-24 CREDIT MIS'!E:E,'Aug Dashboard.'!B117,'Aug-24 CREDIT MIS'!I:I,'Aug Dashboard.'!A117,'Aug-24 CREDIT MIS'!N:N,"Pradeep Kumar Rohlan")</f>
        <v>0</v>
      </c>
      <c r="D117" s="24">
        <f>SUMIFS('Aug-24 CREDIT MIS'!T:T,'Aug-24 CREDIT MIS'!C:C,"&lt;01-08-2024",'Aug-24 CREDIT MIS'!E:E,'Aug Dashboard.'!B117,'Aug-24 CREDIT MIS'!I:I,'Aug Dashboard.'!A117,'Aug-24 CREDIT MIS'!N:N,"Pradeep Kumar Rohlan")/100000</f>
        <v>0</v>
      </c>
      <c r="E117" s="24">
        <f>COUNTIFS('Aug-24 CREDIT MIS'!C:C,"&gt;=01-08-2024",'Aug-24 CREDIT MIS'!E:E,'Aug Dashboard.'!B117,'Aug-24 CREDIT MIS'!I:I,'Aug Dashboard.'!A117,'Aug-24 CREDIT MIS'!N:N,"Pradeep Kumar Rohlan")</f>
        <v>0</v>
      </c>
      <c r="F117" s="24">
        <f>SUMIFS('Aug-24 CREDIT MIS'!T:T,'Aug-24 CREDIT MIS'!C:C,"&gt;=01-08-2024",'Aug-24 CREDIT MIS'!E:E,'Aug Dashboard.'!B117,'Aug-24 CREDIT MIS'!I:I,'Aug Dashboard.'!A117,'Aug-24 CREDIT MIS'!N:N,"Pradeep Kumar Rohlan")/100000</f>
        <v>0</v>
      </c>
      <c r="G117" s="24">
        <f t="shared" si="39"/>
        <v>0</v>
      </c>
      <c r="H117" s="24">
        <f t="shared" si="40"/>
        <v>0</v>
      </c>
      <c r="I117" s="24">
        <f>COUNTIFS('Aug-24 CREDIT MIS'!S:S,"Sanction",'Aug-24 CREDIT MIS'!E:E,'Aug Dashboard.'!B117,'Aug-24 CREDIT MIS'!I:I,'Aug Dashboard.'!A117,'Aug-24 CREDIT MIS'!N:N,'Aug Dashboard.'!$A$124)+COUNTIFS('Aug-24 CREDIT MIS'!S:S,"Disbursed",'Aug-24 CREDIT MIS'!E:E,'Aug Dashboard.'!B117,'Aug-24 CREDIT MIS'!I:I,'Aug Dashboard.'!A117,'Aug-24 CREDIT MIS'!N:N,'Aug Dashboard.'!$A$124)</f>
        <v>0</v>
      </c>
      <c r="J117" s="24">
        <f>SUMIFS('Aug-24 CREDIT MIS'!V:V,'Aug-24 CREDIT MIS'!S:S,"Sanction",'Aug-24 CREDIT MIS'!E:E,'Aug Dashboard.'!B117,'Aug-24 CREDIT MIS'!I:I,'Aug Dashboard.'!A117,'Aug-24 CREDIT MIS'!N:N,'Aug Dashboard.'!$A$124)/100000+SUMIFS('Aug-24 CREDIT MIS'!V:V,'Aug-24 CREDIT MIS'!S:S,"Disbursed",'Aug-24 CREDIT MIS'!E:E,'Aug Dashboard.'!B117,'Aug-24 CREDIT MIS'!I:I,'Aug Dashboard.'!A117,'Aug-24 CREDIT MIS'!N:N,'Aug Dashboard.'!$A$124)/100000</f>
        <v>0</v>
      </c>
      <c r="K117" s="24">
        <f>COUNTIFS('Aug-24 CREDIT MIS'!S:S,"Reject",'Aug-24 CREDIT MIS'!E:E,'Aug Dashboard.'!B117,'Aug-24 CREDIT MIS'!I:I,'Aug Dashboard.'!A117,'Aug-24 CREDIT MIS'!N:N,'Aug Dashboard.'!$A$124)</f>
        <v>0</v>
      </c>
      <c r="L117" s="24">
        <f>SUMIFS('Aug-24 CREDIT MIS'!T:T,'Aug-24 CREDIT MIS'!S:S,"Reject",'Aug-24 CREDIT MIS'!E:E,'Aug Dashboard.'!B117,'Aug-24 CREDIT MIS'!I:I,'Aug Dashboard.'!A117,'Aug-24 CREDIT MIS'!N:N,'Aug Dashboard.'!$A$124)/100000</f>
        <v>0</v>
      </c>
      <c r="M117" s="24">
        <f>COUNTIFS('Aug-24 CREDIT MIS'!S:S,"Recommend",'Aug-24 CREDIT MIS'!E:E,'Aug Dashboard.'!B117,'Aug-24 CREDIT MIS'!I:I,'Aug Dashboard.'!A117,'Aug-24 CREDIT MIS'!N:N,'Aug Dashboard.'!$A$124)</f>
        <v>0</v>
      </c>
      <c r="N117" s="24">
        <f>SUMIFS('Aug-24 CREDIT MIS'!T:T,'Aug-24 CREDIT MIS'!S:S,"Recommend",'Aug-24 CREDIT MIS'!E:E,'Aug Dashboard.'!B117,'Aug-24 CREDIT MIS'!I:I,'Aug Dashboard.'!A117,'Aug-24 CREDIT MIS'!N:N,'Aug Dashboard.'!$A$124)/100000</f>
        <v>0</v>
      </c>
      <c r="O117" s="24">
        <f>COUNTIFS('Aug-24 CREDIT MIS'!S:S,"Query- Sales",'Aug-24 CREDIT MIS'!E:E,'Aug Dashboard.'!B117,'Aug-24 CREDIT MIS'!I:I,'Aug Dashboard.'!A117,'Aug-24 CREDIT MIS'!N:N,'Aug Dashboard.'!$A$124)</f>
        <v>0</v>
      </c>
      <c r="P117" s="24">
        <f>SUMIFS('Aug-24 CREDIT MIS'!T:T,'Aug-24 CREDIT MIS'!S:S,"Query- Sales",'Aug-24 CREDIT MIS'!E:E,'Aug Dashboard.'!B117,'Aug-24 CREDIT MIS'!I:I,'Aug Dashboard.'!A117,'Aug-24 CREDIT MIS'!N:N,'Aug Dashboard.'!$A$124)/100000</f>
        <v>0</v>
      </c>
      <c r="Q117" s="24">
        <f>COUNTIFS('Aug-24 CREDIT MIS'!S:S,"WIP- Credit",'Aug-24 CREDIT MIS'!E:E,'Aug Dashboard.'!B117,'Aug-24 CREDIT MIS'!I:I,'Aug Dashboard.'!A117,'Aug-24 CREDIT MIS'!N:N,'Aug Dashboard.'!$A$124)</f>
        <v>0</v>
      </c>
      <c r="R117" s="24">
        <f>SUMIFS('Aug-24 CREDIT MIS'!T:T,'Aug-24 CREDIT MIS'!S:S,"WIP- Credit",'Aug-24 CREDIT MIS'!E:E,'Aug Dashboard.'!B117,'Aug-24 CREDIT MIS'!I:I,'Aug Dashboard.'!A117,'Aug-24 CREDIT MIS'!N:N,'Aug Dashboard.'!$A$124)/100000</f>
        <v>0</v>
      </c>
      <c r="S117" s="24">
        <f>COUNTIFS('Aug-24 CREDIT MIS'!S:S,"Visit Pending",'Aug-24 CREDIT MIS'!E:E,'Aug Dashboard.'!B117,'Aug-24 CREDIT MIS'!I:I,'Aug Dashboard.'!A117,'Aug-24 CREDIT MIS'!N:N,'Aug Dashboard.'!$A$124)</f>
        <v>0</v>
      </c>
      <c r="T117" s="24">
        <f>SUMIFS('Aug-24 CREDIT MIS'!T:T,'Aug-24 CREDIT MIS'!S:S,"Visit Pending",'Aug-24 CREDIT MIS'!E:E,'Aug Dashboard.'!B117,'Aug-24 CREDIT MIS'!I:I,'Aug Dashboard.'!A117,'Aug-24 CREDIT MIS'!N:N,'Aug Dashboard.'!$A$124)/100000</f>
        <v>0</v>
      </c>
    </row>
    <row r="118" spans="1:20" x14ac:dyDescent="0.25">
      <c r="A118" s="30" t="s">
        <v>205</v>
      </c>
      <c r="B118" s="25" t="s">
        <v>2</v>
      </c>
      <c r="C118" s="24">
        <f>COUNTIFS('Aug-24 CREDIT MIS'!C:C,"&lt;01-08-2024",'Aug-24 CREDIT MIS'!E:E,'Aug Dashboard.'!B118,'Aug-24 CREDIT MIS'!I:I,'Aug Dashboard.'!A118,'Aug-24 CREDIT MIS'!N:N,"Pradeep Kumar Rohlan")</f>
        <v>0</v>
      </c>
      <c r="D118" s="24">
        <f>SUMIFS('Aug-24 CREDIT MIS'!T:T,'Aug-24 CREDIT MIS'!C:C,"&lt;01-08-2024",'Aug-24 CREDIT MIS'!E:E,'Aug Dashboard.'!B118,'Aug-24 CREDIT MIS'!I:I,'Aug Dashboard.'!A118,'Aug-24 CREDIT MIS'!N:N,"Pradeep Kumar Rohlan")/100000</f>
        <v>0</v>
      </c>
      <c r="E118" s="24">
        <f>COUNTIFS('Aug-24 CREDIT MIS'!C:C,"&gt;=01-08-2024",'Aug-24 CREDIT MIS'!E:E,'Aug Dashboard.'!B118,'Aug-24 CREDIT MIS'!I:I,'Aug Dashboard.'!A118,'Aug-24 CREDIT MIS'!N:N,"Pradeep Kumar Rohlan")</f>
        <v>1</v>
      </c>
      <c r="F118" s="24">
        <f>SUMIFS('Aug-24 CREDIT MIS'!T:T,'Aug-24 CREDIT MIS'!C:C,"&gt;=01-08-2024",'Aug-24 CREDIT MIS'!E:E,'Aug Dashboard.'!B118,'Aug-24 CREDIT MIS'!I:I,'Aug Dashboard.'!A118,'Aug-24 CREDIT MIS'!N:N,"Pradeep Kumar Rohlan")/100000</f>
        <v>9</v>
      </c>
      <c r="G118" s="24">
        <f t="shared" si="39"/>
        <v>1</v>
      </c>
      <c r="H118" s="24">
        <f t="shared" si="40"/>
        <v>9</v>
      </c>
      <c r="I118" s="24">
        <f>COUNTIFS('Aug-24 CREDIT MIS'!S:S,"Sanction",'Aug-24 CREDIT MIS'!E:E,'Aug Dashboard.'!B118,'Aug-24 CREDIT MIS'!I:I,'Aug Dashboard.'!A118,'Aug-24 CREDIT MIS'!N:N,'Aug Dashboard.'!$A$124)+COUNTIFS('Aug-24 CREDIT MIS'!S:S,"Disbursed",'Aug-24 CREDIT MIS'!E:E,'Aug Dashboard.'!B118,'Aug-24 CREDIT MIS'!I:I,'Aug Dashboard.'!A118,'Aug-24 CREDIT MIS'!N:N,'Aug Dashboard.'!$A$124)</f>
        <v>0</v>
      </c>
      <c r="J118" s="24">
        <f>SUMIFS('Aug-24 CREDIT MIS'!V:V,'Aug-24 CREDIT MIS'!S:S,"Sanction",'Aug-24 CREDIT MIS'!E:E,'Aug Dashboard.'!B118,'Aug-24 CREDIT MIS'!I:I,'Aug Dashboard.'!A118,'Aug-24 CREDIT MIS'!N:N,'Aug Dashboard.'!$A$124)/100000+SUMIFS('Aug-24 CREDIT MIS'!V:V,'Aug-24 CREDIT MIS'!S:S,"Disbursed",'Aug-24 CREDIT MIS'!E:E,'Aug Dashboard.'!B118,'Aug-24 CREDIT MIS'!I:I,'Aug Dashboard.'!A118,'Aug-24 CREDIT MIS'!N:N,'Aug Dashboard.'!$A$124)/100000</f>
        <v>0</v>
      </c>
      <c r="K118" s="24">
        <f>COUNTIFS('Aug-24 CREDIT MIS'!S:S,"Reject",'Aug-24 CREDIT MIS'!E:E,'Aug Dashboard.'!B118,'Aug-24 CREDIT MIS'!I:I,'Aug Dashboard.'!A118,'Aug-24 CREDIT MIS'!N:N,'Aug Dashboard.'!$A$124)</f>
        <v>0</v>
      </c>
      <c r="L118" s="24">
        <f>SUMIFS('Aug-24 CREDIT MIS'!T:T,'Aug-24 CREDIT MIS'!S:S,"Reject",'Aug-24 CREDIT MIS'!E:E,'Aug Dashboard.'!B118,'Aug-24 CREDIT MIS'!I:I,'Aug Dashboard.'!A118,'Aug-24 CREDIT MIS'!N:N,'Aug Dashboard.'!$A$124)/100000</f>
        <v>0</v>
      </c>
      <c r="M118" s="24">
        <f>COUNTIFS('Aug-24 CREDIT MIS'!S:S,"Recommend",'Aug-24 CREDIT MIS'!E:E,'Aug Dashboard.'!B118,'Aug-24 CREDIT MIS'!I:I,'Aug Dashboard.'!A118,'Aug-24 CREDIT MIS'!N:N,'Aug Dashboard.'!$A$124)</f>
        <v>0</v>
      </c>
      <c r="N118" s="24">
        <f>SUMIFS('Aug-24 CREDIT MIS'!T:T,'Aug-24 CREDIT MIS'!S:S,"Recommend",'Aug-24 CREDIT MIS'!E:E,'Aug Dashboard.'!B118,'Aug-24 CREDIT MIS'!I:I,'Aug Dashboard.'!A118,'Aug-24 CREDIT MIS'!N:N,'Aug Dashboard.'!$A$124)/100000</f>
        <v>0</v>
      </c>
      <c r="O118" s="24">
        <f>COUNTIFS('Aug-24 CREDIT MIS'!S:S,"Query- Sales",'Aug-24 CREDIT MIS'!E:E,'Aug Dashboard.'!B118,'Aug-24 CREDIT MIS'!I:I,'Aug Dashboard.'!A118,'Aug-24 CREDIT MIS'!N:N,'Aug Dashboard.'!$A$124)</f>
        <v>0</v>
      </c>
      <c r="P118" s="24">
        <f>SUMIFS('Aug-24 CREDIT MIS'!T:T,'Aug-24 CREDIT MIS'!S:S,"Query- Sales",'Aug-24 CREDIT MIS'!E:E,'Aug Dashboard.'!B118,'Aug-24 CREDIT MIS'!I:I,'Aug Dashboard.'!A118,'Aug-24 CREDIT MIS'!N:N,'Aug Dashboard.'!$A$124)/100000</f>
        <v>0</v>
      </c>
      <c r="Q118" s="24">
        <f>COUNTIFS('Aug-24 CREDIT MIS'!S:S,"WIP- Credit",'Aug-24 CREDIT MIS'!E:E,'Aug Dashboard.'!B118,'Aug-24 CREDIT MIS'!I:I,'Aug Dashboard.'!A118,'Aug-24 CREDIT MIS'!N:N,'Aug Dashboard.'!$A$124)</f>
        <v>0</v>
      </c>
      <c r="R118" s="24">
        <f>SUMIFS('Aug-24 CREDIT MIS'!T:T,'Aug-24 CREDIT MIS'!S:S,"WIP- Credit",'Aug-24 CREDIT MIS'!E:E,'Aug Dashboard.'!B118,'Aug-24 CREDIT MIS'!I:I,'Aug Dashboard.'!A118,'Aug-24 CREDIT MIS'!N:N,'Aug Dashboard.'!$A$124)/100000</f>
        <v>0</v>
      </c>
      <c r="S118" s="24">
        <f>COUNTIFS('Aug-24 CREDIT MIS'!S:S,"Visit Pending",'Aug-24 CREDIT MIS'!E:E,'Aug Dashboard.'!B118,'Aug-24 CREDIT MIS'!I:I,'Aug Dashboard.'!A118,'Aug-24 CREDIT MIS'!N:N,'Aug Dashboard.'!$A$124)</f>
        <v>1</v>
      </c>
      <c r="T118" s="24">
        <f>SUMIFS('Aug-24 CREDIT MIS'!T:T,'Aug-24 CREDIT MIS'!S:S,"Visit Pending",'Aug-24 CREDIT MIS'!E:E,'Aug Dashboard.'!B118,'Aug-24 CREDIT MIS'!I:I,'Aug Dashboard.'!A118,'Aug-24 CREDIT MIS'!N:N,'Aug Dashboard.'!$A$124)/100000</f>
        <v>9</v>
      </c>
    </row>
    <row r="119" spans="1:20" x14ac:dyDescent="0.25">
      <c r="A119" s="57" t="s">
        <v>204</v>
      </c>
      <c r="B119" s="57" t="s">
        <v>75</v>
      </c>
      <c r="C119" s="24">
        <f>COUNTIFS('Aug-24 CREDIT MIS'!C:C,"&lt;01-08-2024",'Aug-24 CREDIT MIS'!E:E,'Aug Dashboard.'!B119,'Aug-24 CREDIT MIS'!I:I,'Aug Dashboard.'!A119,'Aug-24 CREDIT MIS'!N:N,"Pradeep Kumar Rohlan")</f>
        <v>0</v>
      </c>
      <c r="D119" s="24">
        <f>SUMIFS('Aug-24 CREDIT MIS'!T:T,'Aug-24 CREDIT MIS'!C:C,"&lt;01-08-2024",'Aug-24 CREDIT MIS'!E:E,'Aug Dashboard.'!B119,'Aug-24 CREDIT MIS'!I:I,'Aug Dashboard.'!A119,'Aug-24 CREDIT MIS'!N:N,"Pradeep Kumar Rohlan")/100000</f>
        <v>0</v>
      </c>
      <c r="E119" s="24">
        <f>COUNTIFS('Aug-24 CREDIT MIS'!C:C,"&gt;=01-08-2024",'Aug-24 CREDIT MIS'!E:E,'Aug Dashboard.'!B119,'Aug-24 CREDIT MIS'!I:I,'Aug Dashboard.'!A119,'Aug-24 CREDIT MIS'!N:N,"Pradeep Kumar Rohlan")</f>
        <v>1</v>
      </c>
      <c r="F119" s="24">
        <f>SUMIFS('Aug-24 CREDIT MIS'!T:T,'Aug-24 CREDIT MIS'!C:C,"&gt;=01-08-2024",'Aug-24 CREDIT MIS'!E:E,'Aug Dashboard.'!B119,'Aug-24 CREDIT MIS'!I:I,'Aug Dashboard.'!A119,'Aug-24 CREDIT MIS'!N:N,"Pradeep Kumar Rohlan")/100000</f>
        <v>5</v>
      </c>
      <c r="G119" s="24">
        <f t="shared" si="39"/>
        <v>1</v>
      </c>
      <c r="H119" s="24">
        <f t="shared" si="40"/>
        <v>5</v>
      </c>
      <c r="I119" s="24">
        <f>COUNTIFS('Aug-24 CREDIT MIS'!S:S,"Sanction",'Aug-24 CREDIT MIS'!E:E,'Aug Dashboard.'!B119,'Aug-24 CREDIT MIS'!I:I,'Aug Dashboard.'!A119,'Aug-24 CREDIT MIS'!N:N,'Aug Dashboard.'!$A$124)+COUNTIFS('Aug-24 CREDIT MIS'!S:S,"Disbursed",'Aug-24 CREDIT MIS'!E:E,'Aug Dashboard.'!B119,'Aug-24 CREDIT MIS'!I:I,'Aug Dashboard.'!A119,'Aug-24 CREDIT MIS'!N:N,'Aug Dashboard.'!$A$124)</f>
        <v>0</v>
      </c>
      <c r="J119" s="24">
        <f>SUMIFS('Aug-24 CREDIT MIS'!V:V,'Aug-24 CREDIT MIS'!S:S,"Sanction",'Aug-24 CREDIT MIS'!E:E,'Aug Dashboard.'!B119,'Aug-24 CREDIT MIS'!I:I,'Aug Dashboard.'!A119,'Aug-24 CREDIT MIS'!N:N,'Aug Dashboard.'!$A$124)/100000+SUMIFS('Aug-24 CREDIT MIS'!V:V,'Aug-24 CREDIT MIS'!S:S,"Disbursed",'Aug-24 CREDIT MIS'!E:E,'Aug Dashboard.'!B119,'Aug-24 CREDIT MIS'!I:I,'Aug Dashboard.'!A119,'Aug-24 CREDIT MIS'!N:N,'Aug Dashboard.'!$A$124)/100000</f>
        <v>0</v>
      </c>
      <c r="K119" s="24">
        <f>COUNTIFS('Aug-24 CREDIT MIS'!S:S,"Reject",'Aug-24 CREDIT MIS'!E:E,'Aug Dashboard.'!B119,'Aug-24 CREDIT MIS'!I:I,'Aug Dashboard.'!A119,'Aug-24 CREDIT MIS'!N:N,'Aug Dashboard.'!$A$124)</f>
        <v>0</v>
      </c>
      <c r="L119" s="24">
        <f>SUMIFS('Aug-24 CREDIT MIS'!T:T,'Aug-24 CREDIT MIS'!S:S,"Reject",'Aug-24 CREDIT MIS'!E:E,'Aug Dashboard.'!B119,'Aug-24 CREDIT MIS'!I:I,'Aug Dashboard.'!A119,'Aug-24 CREDIT MIS'!N:N,'Aug Dashboard.'!$A$124)/100000</f>
        <v>0</v>
      </c>
      <c r="M119" s="24">
        <f>COUNTIFS('Aug-24 CREDIT MIS'!S:S,"Recommend",'Aug-24 CREDIT MIS'!E:E,'Aug Dashboard.'!B119,'Aug-24 CREDIT MIS'!I:I,'Aug Dashboard.'!A119,'Aug-24 CREDIT MIS'!N:N,'Aug Dashboard.'!$A$124)</f>
        <v>0</v>
      </c>
      <c r="N119" s="24">
        <f>SUMIFS('Aug-24 CREDIT MIS'!T:T,'Aug-24 CREDIT MIS'!S:S,"Recommend",'Aug-24 CREDIT MIS'!E:E,'Aug Dashboard.'!B119,'Aug-24 CREDIT MIS'!I:I,'Aug Dashboard.'!A119,'Aug-24 CREDIT MIS'!N:N,'Aug Dashboard.'!$A$124)/100000</f>
        <v>0</v>
      </c>
      <c r="O119" s="24">
        <f>COUNTIFS('Aug-24 CREDIT MIS'!S:S,"Query- Sales",'Aug-24 CREDIT MIS'!E:E,'Aug Dashboard.'!B119,'Aug-24 CREDIT MIS'!I:I,'Aug Dashboard.'!A119,'Aug-24 CREDIT MIS'!N:N,'Aug Dashboard.'!$A$124)</f>
        <v>0</v>
      </c>
      <c r="P119" s="24">
        <f>SUMIFS('Aug-24 CREDIT MIS'!T:T,'Aug-24 CREDIT MIS'!S:S,"Query- Sales",'Aug-24 CREDIT MIS'!E:E,'Aug Dashboard.'!B119,'Aug-24 CREDIT MIS'!I:I,'Aug Dashboard.'!A119,'Aug-24 CREDIT MIS'!N:N,'Aug Dashboard.'!$A$124)/100000</f>
        <v>0</v>
      </c>
      <c r="Q119" s="24">
        <f>COUNTIFS('Aug-24 CREDIT MIS'!S:S,"WIP- Credit",'Aug-24 CREDIT MIS'!E:E,'Aug Dashboard.'!B119,'Aug-24 CREDIT MIS'!I:I,'Aug Dashboard.'!A119,'Aug-24 CREDIT MIS'!N:N,'Aug Dashboard.'!$A$124)</f>
        <v>0</v>
      </c>
      <c r="R119" s="24">
        <f>SUMIFS('Aug-24 CREDIT MIS'!T:T,'Aug-24 CREDIT MIS'!S:S,"WIP- Credit",'Aug-24 CREDIT MIS'!E:E,'Aug Dashboard.'!B119,'Aug-24 CREDIT MIS'!I:I,'Aug Dashboard.'!A119,'Aug-24 CREDIT MIS'!N:N,'Aug Dashboard.'!$A$124)/100000</f>
        <v>0</v>
      </c>
      <c r="S119" s="24">
        <f>COUNTIFS('Aug-24 CREDIT MIS'!S:S,"Visit Pending",'Aug-24 CREDIT MIS'!E:E,'Aug Dashboard.'!B119,'Aug-24 CREDIT MIS'!I:I,'Aug Dashboard.'!A119,'Aug-24 CREDIT MIS'!N:N,'Aug Dashboard.'!$A$124)</f>
        <v>1</v>
      </c>
      <c r="T119" s="24">
        <f>SUMIFS('Aug-24 CREDIT MIS'!T:T,'Aug-24 CREDIT MIS'!S:S,"Visit Pending",'Aug-24 CREDIT MIS'!E:E,'Aug Dashboard.'!B119,'Aug-24 CREDIT MIS'!I:I,'Aug Dashboard.'!A119,'Aug-24 CREDIT MIS'!N:N,'Aug Dashboard.'!$A$124)/100000</f>
        <v>5</v>
      </c>
    </row>
    <row r="120" spans="1:20" s="63" customFormat="1" x14ac:dyDescent="0.25">
      <c r="A120" s="64" t="s">
        <v>203</v>
      </c>
      <c r="B120" s="25" t="s">
        <v>76</v>
      </c>
      <c r="C120" s="24">
        <f>COUNTIFS('Aug-24 CREDIT MIS'!C:C,"&lt;01-08-2024",'Aug-24 CREDIT MIS'!E:E,'Aug Dashboard.'!B120,'Aug-24 CREDIT MIS'!I:I,'Aug Dashboard.'!A120,'Aug-24 CREDIT MIS'!N:N,"Pradeep Kumar Rohlan")</f>
        <v>0</v>
      </c>
      <c r="D120" s="24">
        <f>SUMIFS('Aug-24 CREDIT MIS'!T:T,'Aug-24 CREDIT MIS'!C:C,"&lt;01-08-2024",'Aug-24 CREDIT MIS'!E:E,'Aug Dashboard.'!B120,'Aug-24 CREDIT MIS'!I:I,'Aug Dashboard.'!A120,'Aug-24 CREDIT MIS'!N:N,"Pradeep Kumar Rohlan")/100000</f>
        <v>0</v>
      </c>
      <c r="E120" s="24">
        <f>COUNTIFS('Aug-24 CREDIT MIS'!C:C,"&gt;=01-08-2024",'Aug-24 CREDIT MIS'!E:E,'Aug Dashboard.'!B120,'Aug-24 CREDIT MIS'!I:I,'Aug Dashboard.'!A120,'Aug-24 CREDIT MIS'!N:N,"Pradeep Kumar Rohlan")</f>
        <v>1</v>
      </c>
      <c r="F120" s="24">
        <f>SUMIFS('Aug-24 CREDIT MIS'!T:T,'Aug-24 CREDIT MIS'!C:C,"&gt;=01-08-2024",'Aug-24 CREDIT MIS'!E:E,'Aug Dashboard.'!B120,'Aug-24 CREDIT MIS'!I:I,'Aug Dashboard.'!A120,'Aug-24 CREDIT MIS'!N:N,"Pradeep Kumar Rohlan")/100000</f>
        <v>9.5</v>
      </c>
      <c r="G120" s="24">
        <f t="shared" si="39"/>
        <v>1</v>
      </c>
      <c r="H120" s="24">
        <f t="shared" si="40"/>
        <v>9.5</v>
      </c>
      <c r="I120" s="24">
        <f>COUNTIFS('Aug-24 CREDIT MIS'!S:S,"Sanction",'Aug-24 CREDIT MIS'!E:E,'Aug Dashboard.'!B120,'Aug-24 CREDIT MIS'!I:I,'Aug Dashboard.'!A120,'Aug-24 CREDIT MIS'!N:N,'Aug Dashboard.'!$A$124)+COUNTIFS('Aug-24 CREDIT MIS'!S:S,"Disbursed",'Aug-24 CREDIT MIS'!E:E,'Aug Dashboard.'!B120,'Aug-24 CREDIT MIS'!I:I,'Aug Dashboard.'!A120,'Aug-24 CREDIT MIS'!N:N,'Aug Dashboard.'!$A$124)</f>
        <v>0</v>
      </c>
      <c r="J120" s="24">
        <f>SUMIFS('Aug-24 CREDIT MIS'!V:V,'Aug-24 CREDIT MIS'!S:S,"Sanction",'Aug-24 CREDIT MIS'!E:E,'Aug Dashboard.'!B120,'Aug-24 CREDIT MIS'!I:I,'Aug Dashboard.'!A120,'Aug-24 CREDIT MIS'!N:N,'Aug Dashboard.'!$A$124)/100000+SUMIFS('Aug-24 CREDIT MIS'!V:V,'Aug-24 CREDIT MIS'!S:S,"Disbursed",'Aug-24 CREDIT MIS'!E:E,'Aug Dashboard.'!B120,'Aug-24 CREDIT MIS'!I:I,'Aug Dashboard.'!A120,'Aug-24 CREDIT MIS'!N:N,'Aug Dashboard.'!$A$124)/100000</f>
        <v>0</v>
      </c>
      <c r="K120" s="24">
        <f>COUNTIFS('Aug-24 CREDIT MIS'!S:S,"Reject",'Aug-24 CREDIT MIS'!E:E,'Aug Dashboard.'!B120,'Aug-24 CREDIT MIS'!I:I,'Aug Dashboard.'!A120,'Aug-24 CREDIT MIS'!N:N,'Aug Dashboard.'!$A$124)</f>
        <v>0</v>
      </c>
      <c r="L120" s="24">
        <f>SUMIFS('Aug-24 CREDIT MIS'!T:T,'Aug-24 CREDIT MIS'!S:S,"Reject",'Aug-24 CREDIT MIS'!E:E,'Aug Dashboard.'!B120,'Aug-24 CREDIT MIS'!I:I,'Aug Dashboard.'!A120,'Aug-24 CREDIT MIS'!N:N,'Aug Dashboard.'!$A$124)/100000</f>
        <v>0</v>
      </c>
      <c r="M120" s="24">
        <f>COUNTIFS('Aug-24 CREDIT MIS'!S:S,"Recommend",'Aug-24 CREDIT MIS'!E:E,'Aug Dashboard.'!B120,'Aug-24 CREDIT MIS'!I:I,'Aug Dashboard.'!A120,'Aug-24 CREDIT MIS'!N:N,'Aug Dashboard.'!$A$124)</f>
        <v>0</v>
      </c>
      <c r="N120" s="24">
        <f>SUMIFS('Aug-24 CREDIT MIS'!T:T,'Aug-24 CREDIT MIS'!S:S,"Recommend",'Aug-24 CREDIT MIS'!E:E,'Aug Dashboard.'!B120,'Aug-24 CREDIT MIS'!I:I,'Aug Dashboard.'!A120,'Aug-24 CREDIT MIS'!N:N,'Aug Dashboard.'!$A$124)/100000</f>
        <v>0</v>
      </c>
      <c r="O120" s="24">
        <f>COUNTIFS('Aug-24 CREDIT MIS'!S:S,"Query- Sales",'Aug-24 CREDIT MIS'!E:E,'Aug Dashboard.'!B120,'Aug-24 CREDIT MIS'!I:I,'Aug Dashboard.'!A120,'Aug-24 CREDIT MIS'!N:N,'Aug Dashboard.'!$A$124)</f>
        <v>0</v>
      </c>
      <c r="P120" s="24">
        <f>SUMIFS('Aug-24 CREDIT MIS'!T:T,'Aug-24 CREDIT MIS'!S:S,"Query- Sales",'Aug-24 CREDIT MIS'!E:E,'Aug Dashboard.'!B120,'Aug-24 CREDIT MIS'!I:I,'Aug Dashboard.'!A120,'Aug-24 CREDIT MIS'!N:N,'Aug Dashboard.'!$A$124)/100000</f>
        <v>0</v>
      </c>
      <c r="Q120" s="24">
        <f>COUNTIFS('Aug-24 CREDIT MIS'!S:S,"WIP- Credit",'Aug-24 CREDIT MIS'!E:E,'Aug Dashboard.'!B120,'Aug-24 CREDIT MIS'!I:I,'Aug Dashboard.'!A120,'Aug-24 CREDIT MIS'!N:N,'Aug Dashboard.'!$A$124)</f>
        <v>1</v>
      </c>
      <c r="R120" s="24">
        <f>SUMIFS('Aug-24 CREDIT MIS'!T:T,'Aug-24 CREDIT MIS'!S:S,"WIP- Credit",'Aug-24 CREDIT MIS'!E:E,'Aug Dashboard.'!B120,'Aug-24 CREDIT MIS'!I:I,'Aug Dashboard.'!A120,'Aug-24 CREDIT MIS'!N:N,'Aug Dashboard.'!$A$124)/100000</f>
        <v>9.5</v>
      </c>
      <c r="S120" s="24">
        <f>COUNTIFS('Aug-24 CREDIT MIS'!S:S,"Visit Pending",'Aug-24 CREDIT MIS'!E:E,'Aug Dashboard.'!B120,'Aug-24 CREDIT MIS'!I:I,'Aug Dashboard.'!A120,'Aug-24 CREDIT MIS'!N:N,'Aug Dashboard.'!$A$124)</f>
        <v>0</v>
      </c>
      <c r="T120" s="24">
        <f>SUMIFS('Aug-24 CREDIT MIS'!T:T,'Aug-24 CREDIT MIS'!S:S,"Visit Pending",'Aug-24 CREDIT MIS'!E:E,'Aug Dashboard.'!B120,'Aug-24 CREDIT MIS'!I:I,'Aug Dashboard.'!A120,'Aug-24 CREDIT MIS'!N:N,'Aug Dashboard.'!$A$124)/100000</f>
        <v>0</v>
      </c>
    </row>
    <row r="121" spans="1:20" x14ac:dyDescent="0.25">
      <c r="A121" s="30" t="s">
        <v>197</v>
      </c>
      <c r="B121" s="57" t="s">
        <v>76</v>
      </c>
      <c r="C121" s="24">
        <f>COUNTIFS('Aug-24 CREDIT MIS'!C:C,"&lt;01-08-2024",'Aug-24 CREDIT MIS'!E:E,'Aug Dashboard.'!B121,'Aug-24 CREDIT MIS'!I:I,'Aug Dashboard.'!A121,'Aug-24 CREDIT MIS'!N:N,"Pradeep Kumar Rohlan")</f>
        <v>0</v>
      </c>
      <c r="D121" s="24">
        <f>SUMIFS('Aug-24 CREDIT MIS'!T:T,'Aug-24 CREDIT MIS'!C:C,"&lt;01-08-2024",'Aug-24 CREDIT MIS'!E:E,'Aug Dashboard.'!B121,'Aug-24 CREDIT MIS'!I:I,'Aug Dashboard.'!A121,'Aug-24 CREDIT MIS'!N:N,"Pradeep Kumar Rohlan")/100000</f>
        <v>0</v>
      </c>
      <c r="E121" s="24">
        <f>COUNTIFS('Aug-24 CREDIT MIS'!C:C,"&gt;=01-08-2024",'Aug-24 CREDIT MIS'!E:E,'Aug Dashboard.'!B121,'Aug-24 CREDIT MIS'!I:I,'Aug Dashboard.'!A121,'Aug-24 CREDIT MIS'!N:N,"Pradeep Kumar Rohlan")</f>
        <v>0</v>
      </c>
      <c r="F121" s="24">
        <f>SUMIFS('Aug-24 CREDIT MIS'!T:T,'Aug-24 CREDIT MIS'!C:C,"&gt;=01-08-2024",'Aug-24 CREDIT MIS'!E:E,'Aug Dashboard.'!B121,'Aug-24 CREDIT MIS'!I:I,'Aug Dashboard.'!A121,'Aug-24 CREDIT MIS'!N:N,"Pradeep Kumar Rohlan")/100000</f>
        <v>0</v>
      </c>
      <c r="G121" s="24">
        <f t="shared" si="39"/>
        <v>0</v>
      </c>
      <c r="H121" s="24">
        <f t="shared" si="40"/>
        <v>0</v>
      </c>
      <c r="I121" s="24">
        <f>COUNTIFS('Aug-24 CREDIT MIS'!S:S,"Sanction",'Aug-24 CREDIT MIS'!E:E,'Aug Dashboard.'!B121,'Aug-24 CREDIT MIS'!I:I,'Aug Dashboard.'!A121,'Aug-24 CREDIT MIS'!N:N,'Aug Dashboard.'!$A$124)+COUNTIFS('Aug-24 CREDIT MIS'!S:S,"Disbursed",'Aug-24 CREDIT MIS'!E:E,'Aug Dashboard.'!B121,'Aug-24 CREDIT MIS'!I:I,'Aug Dashboard.'!A121,'Aug-24 CREDIT MIS'!N:N,'Aug Dashboard.'!$A$124)</f>
        <v>0</v>
      </c>
      <c r="J121" s="24">
        <f>SUMIFS('Aug-24 CREDIT MIS'!V:V,'Aug-24 CREDIT MIS'!S:S,"Sanction",'Aug-24 CREDIT MIS'!E:E,'Aug Dashboard.'!B121,'Aug-24 CREDIT MIS'!I:I,'Aug Dashboard.'!A121,'Aug-24 CREDIT MIS'!N:N,'Aug Dashboard.'!$A$124)/100000+SUMIFS('Aug-24 CREDIT MIS'!V:V,'Aug-24 CREDIT MIS'!S:S,"Disbursed",'Aug-24 CREDIT MIS'!E:E,'Aug Dashboard.'!B121,'Aug-24 CREDIT MIS'!I:I,'Aug Dashboard.'!A121,'Aug-24 CREDIT MIS'!N:N,'Aug Dashboard.'!$A$124)/100000</f>
        <v>0</v>
      </c>
      <c r="K121" s="24">
        <f>COUNTIFS('Aug-24 CREDIT MIS'!S:S,"Reject",'Aug-24 CREDIT MIS'!E:E,'Aug Dashboard.'!B121,'Aug-24 CREDIT MIS'!I:I,'Aug Dashboard.'!A121,'Aug-24 CREDIT MIS'!N:N,'Aug Dashboard.'!$A$124)</f>
        <v>0</v>
      </c>
      <c r="L121" s="24">
        <f>SUMIFS('Aug-24 CREDIT MIS'!T:T,'Aug-24 CREDIT MIS'!S:S,"Reject",'Aug-24 CREDIT MIS'!E:E,'Aug Dashboard.'!B121,'Aug-24 CREDIT MIS'!I:I,'Aug Dashboard.'!A121,'Aug-24 CREDIT MIS'!N:N,'Aug Dashboard.'!$A$124)/100000</f>
        <v>0</v>
      </c>
      <c r="M121" s="24">
        <f>COUNTIFS('Aug-24 CREDIT MIS'!S:S,"Recommend",'Aug-24 CREDIT MIS'!E:E,'Aug Dashboard.'!B121,'Aug-24 CREDIT MIS'!I:I,'Aug Dashboard.'!A121,'Aug-24 CREDIT MIS'!N:N,'Aug Dashboard.'!$A$124)</f>
        <v>0</v>
      </c>
      <c r="N121" s="24">
        <f>SUMIFS('Aug-24 CREDIT MIS'!T:T,'Aug-24 CREDIT MIS'!S:S,"Recommend",'Aug-24 CREDIT MIS'!E:E,'Aug Dashboard.'!B121,'Aug-24 CREDIT MIS'!I:I,'Aug Dashboard.'!A121,'Aug-24 CREDIT MIS'!N:N,'Aug Dashboard.'!$A$124)/100000</f>
        <v>0</v>
      </c>
      <c r="O121" s="24">
        <f>COUNTIFS('Aug-24 CREDIT MIS'!S:S,"Query- Sales",'Aug-24 CREDIT MIS'!E:E,'Aug Dashboard.'!B121,'Aug-24 CREDIT MIS'!I:I,'Aug Dashboard.'!A121,'Aug-24 CREDIT MIS'!N:N,'Aug Dashboard.'!$A$124)</f>
        <v>0</v>
      </c>
      <c r="P121" s="24">
        <f>SUMIFS('Aug-24 CREDIT MIS'!T:T,'Aug-24 CREDIT MIS'!S:S,"Query- Sales",'Aug-24 CREDIT MIS'!E:E,'Aug Dashboard.'!B121,'Aug-24 CREDIT MIS'!I:I,'Aug Dashboard.'!A121,'Aug-24 CREDIT MIS'!N:N,'Aug Dashboard.'!$A$124)/100000</f>
        <v>0</v>
      </c>
      <c r="Q121" s="24">
        <f>COUNTIFS('Aug-24 CREDIT MIS'!S:S,"WIP- Credit",'Aug-24 CREDIT MIS'!E:E,'Aug Dashboard.'!B121,'Aug-24 CREDIT MIS'!I:I,'Aug Dashboard.'!A121,'Aug-24 CREDIT MIS'!N:N,'Aug Dashboard.'!$A$124)</f>
        <v>0</v>
      </c>
      <c r="R121" s="24">
        <f>SUMIFS('Aug-24 CREDIT MIS'!T:T,'Aug-24 CREDIT MIS'!S:S,"WIP- Credit",'Aug-24 CREDIT MIS'!E:E,'Aug Dashboard.'!B121,'Aug-24 CREDIT MIS'!I:I,'Aug Dashboard.'!A121,'Aug-24 CREDIT MIS'!N:N,'Aug Dashboard.'!$A$124)/100000</f>
        <v>0</v>
      </c>
      <c r="S121" s="24">
        <f>COUNTIFS('Aug-24 CREDIT MIS'!S:S,"Visit Pending",'Aug-24 CREDIT MIS'!E:E,'Aug Dashboard.'!B121,'Aug-24 CREDIT MIS'!I:I,'Aug Dashboard.'!A121,'Aug-24 CREDIT MIS'!N:N,'Aug Dashboard.'!$A$124)</f>
        <v>0</v>
      </c>
      <c r="T121" s="24">
        <f>SUMIFS('Aug-24 CREDIT MIS'!T:T,'Aug-24 CREDIT MIS'!S:S,"Visit Pending",'Aug-24 CREDIT MIS'!E:E,'Aug Dashboard.'!B121,'Aug-24 CREDIT MIS'!I:I,'Aug Dashboard.'!A121,'Aug-24 CREDIT MIS'!N:N,'Aug Dashboard.'!$A$124)/100000</f>
        <v>0</v>
      </c>
    </row>
    <row r="122" spans="1:20" x14ac:dyDescent="0.25">
      <c r="A122" s="30" t="s">
        <v>202</v>
      </c>
      <c r="B122" s="25" t="s">
        <v>201</v>
      </c>
      <c r="C122" s="24">
        <f>COUNTIFS('Aug-24 CREDIT MIS'!C:C,"&lt;01-08-2024",'Aug-24 CREDIT MIS'!E:E,'Aug Dashboard.'!B122,'Aug-24 CREDIT MIS'!I:I,'Aug Dashboard.'!A122,'Aug-24 CREDIT MIS'!N:N,"Pradeep Kumar Rohlan")</f>
        <v>0</v>
      </c>
      <c r="D122" s="24">
        <f>SUMIFS('Aug-24 CREDIT MIS'!T:T,'Aug-24 CREDIT MIS'!C:C,"&lt;01-08-2024",'Aug-24 CREDIT MIS'!E:E,'Aug Dashboard.'!B122,'Aug-24 CREDIT MIS'!I:I,'Aug Dashboard.'!A122,'Aug-24 CREDIT MIS'!N:N,"Pradeep Kumar Rohlan")/100000</f>
        <v>0</v>
      </c>
      <c r="E122" s="24">
        <f>COUNTIFS('Aug-24 CREDIT MIS'!C:C,"&gt;=01-08-2024",'Aug-24 CREDIT MIS'!E:E,'Aug Dashboard.'!B122,'Aug-24 CREDIT MIS'!I:I,'Aug Dashboard.'!A122,'Aug-24 CREDIT MIS'!N:N,"Pradeep Kumar Rohlan")</f>
        <v>1</v>
      </c>
      <c r="F122" s="24">
        <f>SUMIFS('Aug-24 CREDIT MIS'!T:T,'Aug-24 CREDIT MIS'!C:C,"&gt;=01-08-2024",'Aug-24 CREDIT MIS'!E:E,'Aug Dashboard.'!B122,'Aug-24 CREDIT MIS'!I:I,'Aug Dashboard.'!A122,'Aug-24 CREDIT MIS'!N:N,"Pradeep Kumar Rohlan")/100000</f>
        <v>5</v>
      </c>
      <c r="G122" s="24">
        <f t="shared" si="39"/>
        <v>1</v>
      </c>
      <c r="H122" s="24">
        <f t="shared" si="40"/>
        <v>5</v>
      </c>
      <c r="I122" s="24">
        <f>COUNTIFS('Aug-24 CREDIT MIS'!S:S,"Sanction",'Aug-24 CREDIT MIS'!E:E,'Aug Dashboard.'!B122,'Aug-24 CREDIT MIS'!I:I,'Aug Dashboard.'!A122,'Aug-24 CREDIT MIS'!N:N,'Aug Dashboard.'!$A$124)+COUNTIFS('Aug-24 CREDIT MIS'!S:S,"Disbursed",'Aug-24 CREDIT MIS'!E:E,'Aug Dashboard.'!B122,'Aug-24 CREDIT MIS'!I:I,'Aug Dashboard.'!A122,'Aug-24 CREDIT MIS'!N:N,'Aug Dashboard.'!$A$124)</f>
        <v>0</v>
      </c>
      <c r="J122" s="24">
        <f>SUMIFS('Aug-24 CREDIT MIS'!V:V,'Aug-24 CREDIT MIS'!S:S,"Sanction",'Aug-24 CREDIT MIS'!E:E,'Aug Dashboard.'!B122,'Aug-24 CREDIT MIS'!I:I,'Aug Dashboard.'!A122,'Aug-24 CREDIT MIS'!N:N,'Aug Dashboard.'!$A$124)/100000+SUMIFS('Aug-24 CREDIT MIS'!V:V,'Aug-24 CREDIT MIS'!S:S,"Disbursed",'Aug-24 CREDIT MIS'!E:E,'Aug Dashboard.'!B122,'Aug-24 CREDIT MIS'!I:I,'Aug Dashboard.'!A122,'Aug-24 CREDIT MIS'!N:N,'Aug Dashboard.'!$A$124)/100000</f>
        <v>0</v>
      </c>
      <c r="K122" s="24">
        <f>COUNTIFS('Aug-24 CREDIT MIS'!S:S,"Reject",'Aug-24 CREDIT MIS'!E:E,'Aug Dashboard.'!B122,'Aug-24 CREDIT MIS'!I:I,'Aug Dashboard.'!A122,'Aug-24 CREDIT MIS'!N:N,'Aug Dashboard.'!$A$124)</f>
        <v>0</v>
      </c>
      <c r="L122" s="24">
        <f>SUMIFS('Aug-24 CREDIT MIS'!T:T,'Aug-24 CREDIT MIS'!S:S,"Reject",'Aug-24 CREDIT MIS'!E:E,'Aug Dashboard.'!B122,'Aug-24 CREDIT MIS'!I:I,'Aug Dashboard.'!A122,'Aug-24 CREDIT MIS'!N:N,'Aug Dashboard.'!$A$124)/100000</f>
        <v>0</v>
      </c>
      <c r="M122" s="24">
        <f>COUNTIFS('Aug-24 CREDIT MIS'!S:S,"Recommend",'Aug-24 CREDIT MIS'!E:E,'Aug Dashboard.'!B122,'Aug-24 CREDIT MIS'!I:I,'Aug Dashboard.'!A122,'Aug-24 CREDIT MIS'!N:N,'Aug Dashboard.'!$A$124)</f>
        <v>0</v>
      </c>
      <c r="N122" s="24">
        <f>SUMIFS('Aug-24 CREDIT MIS'!T:T,'Aug-24 CREDIT MIS'!S:S,"Recommend",'Aug-24 CREDIT MIS'!E:E,'Aug Dashboard.'!B122,'Aug-24 CREDIT MIS'!I:I,'Aug Dashboard.'!A122,'Aug-24 CREDIT MIS'!N:N,'Aug Dashboard.'!$A$124)/100000</f>
        <v>0</v>
      </c>
      <c r="O122" s="24">
        <f>COUNTIFS('Aug-24 CREDIT MIS'!S:S,"Query- Sales",'Aug-24 CREDIT MIS'!E:E,'Aug Dashboard.'!B122,'Aug-24 CREDIT MIS'!I:I,'Aug Dashboard.'!A122,'Aug-24 CREDIT MIS'!N:N,'Aug Dashboard.'!$A$124)</f>
        <v>0</v>
      </c>
      <c r="P122" s="24">
        <f>SUMIFS('Aug-24 CREDIT MIS'!T:T,'Aug-24 CREDIT MIS'!S:S,"Query- Sales",'Aug-24 CREDIT MIS'!E:E,'Aug Dashboard.'!B122,'Aug-24 CREDIT MIS'!I:I,'Aug Dashboard.'!A122,'Aug-24 CREDIT MIS'!N:N,'Aug Dashboard.'!$A$124)/100000</f>
        <v>0</v>
      </c>
      <c r="Q122" s="24">
        <f>COUNTIFS('Aug-24 CREDIT MIS'!S:S,"WIP- Credit",'Aug-24 CREDIT MIS'!E:E,'Aug Dashboard.'!B122,'Aug-24 CREDIT MIS'!I:I,'Aug Dashboard.'!A122,'Aug-24 CREDIT MIS'!N:N,'Aug Dashboard.'!$A$124)</f>
        <v>0</v>
      </c>
      <c r="R122" s="24">
        <f>SUMIFS('Aug-24 CREDIT MIS'!T:T,'Aug-24 CREDIT MIS'!S:S,"WIP- Credit",'Aug-24 CREDIT MIS'!E:E,'Aug Dashboard.'!B122,'Aug-24 CREDIT MIS'!I:I,'Aug Dashboard.'!A122,'Aug-24 CREDIT MIS'!N:N,'Aug Dashboard.'!$A$124)/100000</f>
        <v>0</v>
      </c>
      <c r="S122" s="24">
        <f>COUNTIFS('Aug-24 CREDIT MIS'!S:S,"Visit Pending",'Aug-24 CREDIT MIS'!E:E,'Aug Dashboard.'!B122,'Aug-24 CREDIT MIS'!I:I,'Aug Dashboard.'!A122,'Aug-24 CREDIT MIS'!N:N,'Aug Dashboard.'!$A$124)</f>
        <v>1</v>
      </c>
      <c r="T122" s="24">
        <f>SUMIFS('Aug-24 CREDIT MIS'!T:T,'Aug-24 CREDIT MIS'!S:S,"Visit Pending",'Aug-24 CREDIT MIS'!E:E,'Aug Dashboard.'!B122,'Aug-24 CREDIT MIS'!I:I,'Aug Dashboard.'!A122,'Aug-24 CREDIT MIS'!N:N,'Aug Dashboard.'!$A$124)/100000</f>
        <v>5</v>
      </c>
    </row>
    <row r="123" spans="1:20" x14ac:dyDescent="0.25">
      <c r="A123" s="62" t="s">
        <v>200</v>
      </c>
      <c r="B123" s="25" t="s">
        <v>19</v>
      </c>
      <c r="C123" s="24">
        <f>COUNTIFS('Aug-24 CREDIT MIS'!C:C,"&lt;01-08-2024",'Aug-24 CREDIT MIS'!E:E,'Aug Dashboard.'!B123,'Aug-24 CREDIT MIS'!I:I,'Aug Dashboard.'!A123,'Aug-24 CREDIT MIS'!N:N,"Pradeep Kumar Rohlan")</f>
        <v>0</v>
      </c>
      <c r="D123" s="24">
        <f>SUMIFS('Aug-24 CREDIT MIS'!T:T,'Aug-24 CREDIT MIS'!C:C,"&lt;01-08-2024",'Aug-24 CREDIT MIS'!E:E,'Aug Dashboard.'!B123,'Aug-24 CREDIT MIS'!I:I,'Aug Dashboard.'!A123,'Aug-24 CREDIT MIS'!N:N,"Pradeep Kumar Rohlan")/100000</f>
        <v>0</v>
      </c>
      <c r="E123" s="24">
        <f>COUNTIFS('Aug-24 CREDIT MIS'!C:C,"&gt;=01-08-2024",'Aug-24 CREDIT MIS'!E:E,'Aug Dashboard.'!B123,'Aug-24 CREDIT MIS'!I:I,'Aug Dashboard.'!A123,'Aug-24 CREDIT MIS'!N:N,"Pradeep Kumar Rohlan")</f>
        <v>2</v>
      </c>
      <c r="F123" s="24">
        <f>SUMIFS('Aug-24 CREDIT MIS'!T:T,'Aug-24 CREDIT MIS'!C:C,"&gt;=01-08-2024",'Aug-24 CREDIT MIS'!E:E,'Aug Dashboard.'!B123,'Aug-24 CREDIT MIS'!I:I,'Aug Dashboard.'!A123,'Aug-24 CREDIT MIS'!N:N,"Pradeep Kumar Rohlan")/100000</f>
        <v>11</v>
      </c>
      <c r="G123" s="24">
        <f t="shared" si="39"/>
        <v>2</v>
      </c>
      <c r="H123" s="24">
        <f t="shared" si="40"/>
        <v>11</v>
      </c>
      <c r="I123" s="24">
        <f>COUNTIFS('Aug-24 CREDIT MIS'!S:S,"Sanction",'Aug-24 CREDIT MIS'!E:E,'Aug Dashboard.'!B123,'Aug-24 CREDIT MIS'!I:I,'Aug Dashboard.'!A123,'Aug-24 CREDIT MIS'!N:N,'Aug Dashboard.'!$A$124)+COUNTIFS('Aug-24 CREDIT MIS'!S:S,"Disbursed",'Aug-24 CREDIT MIS'!E:E,'Aug Dashboard.'!B123,'Aug-24 CREDIT MIS'!I:I,'Aug Dashboard.'!A123,'Aug-24 CREDIT MIS'!N:N,'Aug Dashboard.'!$A$124)</f>
        <v>0</v>
      </c>
      <c r="J123" s="24">
        <f>SUMIFS('Aug-24 CREDIT MIS'!V:V,'Aug-24 CREDIT MIS'!S:S,"Sanction",'Aug-24 CREDIT MIS'!E:E,'Aug Dashboard.'!B123,'Aug-24 CREDIT MIS'!I:I,'Aug Dashboard.'!A123,'Aug-24 CREDIT MIS'!N:N,'Aug Dashboard.'!$A$124)/100000+SUMIFS('Aug-24 CREDIT MIS'!V:V,'Aug-24 CREDIT MIS'!S:S,"Disbursed",'Aug-24 CREDIT MIS'!E:E,'Aug Dashboard.'!B123,'Aug-24 CREDIT MIS'!I:I,'Aug Dashboard.'!A123,'Aug-24 CREDIT MIS'!N:N,'Aug Dashboard.'!$A$124)/100000</f>
        <v>0</v>
      </c>
      <c r="K123" s="24">
        <f>COUNTIFS('Aug-24 CREDIT MIS'!S:S,"Reject",'Aug-24 CREDIT MIS'!E:E,'Aug Dashboard.'!B123,'Aug-24 CREDIT MIS'!I:I,'Aug Dashboard.'!A123,'Aug-24 CREDIT MIS'!N:N,'Aug Dashboard.'!$A$124)</f>
        <v>0</v>
      </c>
      <c r="L123" s="24">
        <f>SUMIFS('Aug-24 CREDIT MIS'!T:T,'Aug-24 CREDIT MIS'!S:S,"Reject",'Aug-24 CREDIT MIS'!E:E,'Aug Dashboard.'!B123,'Aug-24 CREDIT MIS'!I:I,'Aug Dashboard.'!A123,'Aug-24 CREDIT MIS'!N:N,'Aug Dashboard.'!$A$124)/100000</f>
        <v>0</v>
      </c>
      <c r="M123" s="24">
        <f>COUNTIFS('Aug-24 CREDIT MIS'!S:S,"Recommend",'Aug-24 CREDIT MIS'!E:E,'Aug Dashboard.'!B123,'Aug-24 CREDIT MIS'!I:I,'Aug Dashboard.'!A123,'Aug-24 CREDIT MIS'!N:N,'Aug Dashboard.'!$A$124)</f>
        <v>1</v>
      </c>
      <c r="N123" s="24">
        <f>SUMIFS('Aug-24 CREDIT MIS'!T:T,'Aug-24 CREDIT MIS'!S:S,"Recommend",'Aug-24 CREDIT MIS'!E:E,'Aug Dashboard.'!B123,'Aug-24 CREDIT MIS'!I:I,'Aug Dashboard.'!A123,'Aug-24 CREDIT MIS'!N:N,'Aug Dashboard.'!$A$124)/100000</f>
        <v>5</v>
      </c>
      <c r="O123" s="24">
        <f>COUNTIFS('Aug-24 CREDIT MIS'!S:S,"Query- Sales",'Aug-24 CREDIT MIS'!E:E,'Aug Dashboard.'!B123,'Aug-24 CREDIT MIS'!I:I,'Aug Dashboard.'!A123,'Aug-24 CREDIT MIS'!N:N,'Aug Dashboard.'!$A$124)</f>
        <v>1</v>
      </c>
      <c r="P123" s="24">
        <f>SUMIFS('Aug-24 CREDIT MIS'!T:T,'Aug-24 CREDIT MIS'!S:S,"Query- Sales",'Aug-24 CREDIT MIS'!E:E,'Aug Dashboard.'!B123,'Aug-24 CREDIT MIS'!I:I,'Aug Dashboard.'!A123,'Aug-24 CREDIT MIS'!N:N,'Aug Dashboard.'!$A$124)/100000</f>
        <v>6</v>
      </c>
      <c r="Q123" s="24">
        <f>COUNTIFS('Aug-24 CREDIT MIS'!S:S,"WIP- Credit",'Aug-24 CREDIT MIS'!E:E,'Aug Dashboard.'!B123,'Aug-24 CREDIT MIS'!I:I,'Aug Dashboard.'!A123,'Aug-24 CREDIT MIS'!N:N,'Aug Dashboard.'!$A$124)</f>
        <v>0</v>
      </c>
      <c r="R123" s="24">
        <f>SUMIFS('Aug-24 CREDIT MIS'!T:T,'Aug-24 CREDIT MIS'!S:S,"WIP- Credit",'Aug-24 CREDIT MIS'!E:E,'Aug Dashboard.'!B123,'Aug-24 CREDIT MIS'!I:I,'Aug Dashboard.'!A123,'Aug-24 CREDIT MIS'!N:N,'Aug Dashboard.'!$A$124)/100000</f>
        <v>0</v>
      </c>
      <c r="S123" s="24">
        <f>COUNTIFS('Aug-24 CREDIT MIS'!S:S,"Visit Pending",'Aug-24 CREDIT MIS'!E:E,'Aug Dashboard.'!B123,'Aug-24 CREDIT MIS'!I:I,'Aug Dashboard.'!A123,'Aug-24 CREDIT MIS'!N:N,'Aug Dashboard.'!$A$124)</f>
        <v>0</v>
      </c>
      <c r="T123" s="24">
        <f>SUMIFS('Aug-24 CREDIT MIS'!T:T,'Aug-24 CREDIT MIS'!S:S,"Visit Pending",'Aug-24 CREDIT MIS'!E:E,'Aug Dashboard.'!B123,'Aug-24 CREDIT MIS'!I:I,'Aug Dashboard.'!A123,'Aug-24 CREDIT MIS'!N:N,'Aug Dashboard.'!$A$124)/100000</f>
        <v>0</v>
      </c>
    </row>
    <row r="124" spans="1:20" x14ac:dyDescent="0.25">
      <c r="A124" s="166" t="s">
        <v>199</v>
      </c>
      <c r="B124" s="167"/>
      <c r="C124" s="24">
        <f t="shared" ref="C124:T124" si="41">SUM(C108:C123)</f>
        <v>0</v>
      </c>
      <c r="D124" s="24">
        <f t="shared" si="41"/>
        <v>0</v>
      </c>
      <c r="E124" s="24">
        <f t="shared" si="41"/>
        <v>12</v>
      </c>
      <c r="F124" s="24">
        <f t="shared" si="41"/>
        <v>80.900000000000006</v>
      </c>
      <c r="G124" s="24">
        <f t="shared" si="41"/>
        <v>12</v>
      </c>
      <c r="H124" s="24">
        <f t="shared" si="41"/>
        <v>80.900000000000006</v>
      </c>
      <c r="I124" s="24">
        <f t="shared" si="41"/>
        <v>0</v>
      </c>
      <c r="J124" s="24">
        <f t="shared" si="41"/>
        <v>0</v>
      </c>
      <c r="K124" s="24">
        <f t="shared" si="41"/>
        <v>2</v>
      </c>
      <c r="L124" s="24">
        <f t="shared" si="41"/>
        <v>10</v>
      </c>
      <c r="M124" s="24">
        <f t="shared" si="41"/>
        <v>2</v>
      </c>
      <c r="N124" s="24">
        <f t="shared" si="41"/>
        <v>14.9</v>
      </c>
      <c r="O124" s="24">
        <f t="shared" si="41"/>
        <v>3</v>
      </c>
      <c r="P124" s="24">
        <f t="shared" si="41"/>
        <v>23</v>
      </c>
      <c r="Q124" s="24">
        <f t="shared" si="41"/>
        <v>2</v>
      </c>
      <c r="R124" s="24">
        <f t="shared" si="41"/>
        <v>14</v>
      </c>
      <c r="S124" s="24">
        <f t="shared" si="41"/>
        <v>3</v>
      </c>
      <c r="T124" s="24">
        <f t="shared" si="41"/>
        <v>19</v>
      </c>
    </row>
    <row r="125" spans="1:20" x14ac:dyDescent="0.25">
      <c r="A125" s="30" t="s">
        <v>198</v>
      </c>
      <c r="B125" s="25" t="s">
        <v>20</v>
      </c>
      <c r="C125" s="24">
        <f>COUNTIFS('Aug-24 CREDIT MIS'!C:C,"&lt;01-08-2024",'Aug-24 CREDIT MIS'!E:E,'Aug Dashboard.'!B125,'Aug-24 CREDIT MIS'!I:I,'Aug Dashboard.'!A125,'Aug-24 CREDIT MIS'!N:N,"Sanjay Arya")</f>
        <v>0</v>
      </c>
      <c r="D125" s="24">
        <f>SUMIFS('Aug-24 CREDIT MIS'!T:T,'Aug-24 CREDIT MIS'!C:C,"&lt;01-08-2024",'Aug-24 CREDIT MIS'!E:E,'Aug Dashboard.'!B125,'Aug-24 CREDIT MIS'!I:I,'Aug Dashboard.'!A125,'Aug-24 CREDIT MIS'!N:N,"Sanjay Arya")/100000</f>
        <v>0</v>
      </c>
      <c r="E125" s="24">
        <f>COUNTIFS('Aug-24 CREDIT MIS'!C:C,"&gt;=01-08-2024",'Aug-24 CREDIT MIS'!E:E,'Aug Dashboard.'!B125,'Aug-24 CREDIT MIS'!I:I,'Aug Dashboard.'!A125,'Aug-24 CREDIT MIS'!N:N,"Sanjay Arya")</f>
        <v>1</v>
      </c>
      <c r="F125" s="24">
        <f>SUMIFS('Aug-24 CREDIT MIS'!T:T,'Aug-24 CREDIT MIS'!C:C,"&gt;=01-08-2024",'Aug-24 CREDIT MIS'!E:E,'Aug Dashboard.'!B125,'Aug-24 CREDIT MIS'!I:I,'Aug Dashboard.'!A125,'Aug-24 CREDIT MIS'!N:N,"Sanjay Arya")/100000</f>
        <v>9.9</v>
      </c>
      <c r="G125" s="24">
        <f t="shared" ref="G125:H130" si="42">E125+C125</f>
        <v>1</v>
      </c>
      <c r="H125" s="24">
        <f t="shared" si="42"/>
        <v>9.9</v>
      </c>
      <c r="I125" s="24">
        <f>COUNTIFS('Aug-24 CREDIT MIS'!S:S,"Sanction",'Aug-24 CREDIT MIS'!E:E,'Aug Dashboard.'!B125,'Aug-24 CREDIT MIS'!I:I,'Aug Dashboard.'!A125,'Aug-24 CREDIT MIS'!N:N,'Aug Dashboard.'!$A$131)+COUNTIFS('Aug-24 CREDIT MIS'!S:S,"Disbursed",'Aug-24 CREDIT MIS'!E:E,'Aug Dashboard.'!B125,'Aug-24 CREDIT MIS'!I:I,'Aug Dashboard.'!A125,'Aug-24 CREDIT MIS'!N:N,'Aug Dashboard.'!$A$131)</f>
        <v>0</v>
      </c>
      <c r="J125" s="24">
        <f>SUMIFS('Aug-24 CREDIT MIS'!V:V,'Aug-24 CREDIT MIS'!S:S,"Sanction",'Aug-24 CREDIT MIS'!E:E,'Aug Dashboard.'!B125,'Aug-24 CREDIT MIS'!I:I,'Aug Dashboard.'!A125,'Aug-24 CREDIT MIS'!N:N,'Aug Dashboard.'!$A$131)/100000+SUMIFS('Aug-24 CREDIT MIS'!V:V,'Aug-24 CREDIT MIS'!S:S,"Disbursed",'Aug-24 CREDIT MIS'!E:E,'Aug Dashboard.'!B125,'Aug-24 CREDIT MIS'!I:I,'Aug Dashboard.'!A125,'Aug-24 CREDIT MIS'!N:N,'Aug Dashboard.'!$A$131)/100000</f>
        <v>0</v>
      </c>
      <c r="K125" s="24">
        <f>COUNTIFS('Aug-24 CREDIT MIS'!S:S,"Reject",'Aug-24 CREDIT MIS'!E:E,'Aug Dashboard.'!B125,'Aug-24 CREDIT MIS'!I:I,'Aug Dashboard.'!A125,'Aug-24 CREDIT MIS'!N:N,'Aug Dashboard.'!$A$131)</f>
        <v>0</v>
      </c>
      <c r="L125" s="24">
        <f>SUMIFS('Aug-24 CREDIT MIS'!T:T,'Aug-24 CREDIT MIS'!S:S,"Reject",'Aug-24 CREDIT MIS'!E:E,'Aug Dashboard.'!B125,'Aug-24 CREDIT MIS'!I:I,'Aug Dashboard.'!A125,'Aug-24 CREDIT MIS'!N:N,'Aug Dashboard.'!$A$131)/100000</f>
        <v>0</v>
      </c>
      <c r="M125" s="24">
        <f>COUNTIFS('Aug-24 CREDIT MIS'!S:S,"Recommend",'Aug-24 CREDIT MIS'!E:E,'Aug Dashboard.'!B125,'Aug-24 CREDIT MIS'!I:I,'Aug Dashboard.'!A125,'Aug-24 CREDIT MIS'!N:N,'Aug Dashboard.'!$A$131)</f>
        <v>1</v>
      </c>
      <c r="N125" s="24">
        <f>SUMIFS('Aug-24 CREDIT MIS'!T:T,'Aug-24 CREDIT MIS'!S:S,"Recommend",'Aug-24 CREDIT MIS'!E:E,'Aug Dashboard.'!B125,'Aug-24 CREDIT MIS'!I:I,'Aug Dashboard.'!A125,'Aug-24 CREDIT MIS'!N:N,'Aug Dashboard.'!$A$131)/100000</f>
        <v>9.9</v>
      </c>
      <c r="O125" s="24">
        <f>COUNTIFS('Aug-24 CREDIT MIS'!S:S,"Query- Sales",'Aug-24 CREDIT MIS'!E:E,'Aug Dashboard.'!B125,'Aug-24 CREDIT MIS'!I:I,'Aug Dashboard.'!A125,'Aug-24 CREDIT MIS'!N:N,'Aug Dashboard.'!$A$131)</f>
        <v>0</v>
      </c>
      <c r="P125" s="24">
        <f>SUMIFS('Aug-24 CREDIT MIS'!T:T,'Aug-24 CREDIT MIS'!S:S,"Query- Sales",'Aug-24 CREDIT MIS'!E:E,'Aug Dashboard.'!B125,'Aug-24 CREDIT MIS'!I:I,'Aug Dashboard.'!A125,'Aug-24 CREDIT MIS'!N:N,'Aug Dashboard.'!$A$131)/100000</f>
        <v>0</v>
      </c>
      <c r="Q125" s="24">
        <f>COUNTIFS('Aug-24 CREDIT MIS'!S:S,"WIP- Credit",'Aug-24 CREDIT MIS'!E:E,'Aug Dashboard.'!B125,'Aug-24 CREDIT MIS'!I:I,'Aug Dashboard.'!A125,'Aug-24 CREDIT MIS'!N:N,'Aug Dashboard.'!$A$131)</f>
        <v>0</v>
      </c>
      <c r="R125" s="24">
        <f>SUMIFS('Aug-24 CREDIT MIS'!T:T,'Aug-24 CREDIT MIS'!S:S,"WIP- Credit",'Aug-24 CREDIT MIS'!E:E,'Aug Dashboard.'!B125,'Aug-24 CREDIT MIS'!I:I,'Aug Dashboard.'!A125,'Aug-24 CREDIT MIS'!N:N,'Aug Dashboard.'!$A$131)/100000</f>
        <v>0</v>
      </c>
      <c r="S125" s="24">
        <f>COUNTIFS('Aug-24 CREDIT MIS'!S:S,"Visit Pending",'Aug-24 CREDIT MIS'!E:E,'Aug Dashboard.'!B125,'Aug-24 CREDIT MIS'!I:I,'Aug Dashboard.'!A125,'Aug-24 CREDIT MIS'!N:N,'Aug Dashboard.'!$A$131)</f>
        <v>0</v>
      </c>
      <c r="T125" s="24">
        <f>SUMIFS('Aug-24 CREDIT MIS'!T:T,'Aug-24 CREDIT MIS'!S:S,"Visit Pending",'Aug-24 CREDIT MIS'!E:E,'Aug Dashboard.'!B125,'Aug-24 CREDIT MIS'!I:I,'Aug Dashboard.'!A125,'Aug-24 CREDIT MIS'!N:N,'Aug Dashboard.'!$A$131)/100000</f>
        <v>0</v>
      </c>
    </row>
    <row r="126" spans="1:20" x14ac:dyDescent="0.25">
      <c r="A126" s="144" t="s">
        <v>489</v>
      </c>
      <c r="B126" s="25" t="s">
        <v>8</v>
      </c>
      <c r="C126" s="24">
        <f>COUNTIFS('Aug-24 CREDIT MIS'!C:C,"&lt;01-08-2024",'Aug-24 CREDIT MIS'!E:E,'Aug Dashboard.'!B126,'Aug-24 CREDIT MIS'!I:I,'Aug Dashboard.'!A126,'Aug-24 CREDIT MIS'!N:N,"Sanjay Arya")</f>
        <v>0</v>
      </c>
      <c r="D126" s="24">
        <f>SUMIFS('Aug-24 CREDIT MIS'!T:T,'Aug-24 CREDIT MIS'!C:C,"&lt;01-08-2024",'Aug-24 CREDIT MIS'!E:E,'Aug Dashboard.'!B126,'Aug-24 CREDIT MIS'!I:I,'Aug Dashboard.'!A126,'Aug-24 CREDIT MIS'!N:N,"Sanjay Arya")/100000</f>
        <v>0</v>
      </c>
      <c r="E126" s="24">
        <f>COUNTIFS('Aug-24 CREDIT MIS'!C:C,"&gt;=01-08-2024",'Aug-24 CREDIT MIS'!E:E,'Aug Dashboard.'!B126,'Aug-24 CREDIT MIS'!I:I,'Aug Dashboard.'!A126,'Aug-24 CREDIT MIS'!N:N,"Sanjay Arya")</f>
        <v>0</v>
      </c>
      <c r="F126" s="24">
        <f>SUMIFS('Aug-24 CREDIT MIS'!T:T,'Aug-24 CREDIT MIS'!C:C,"&gt;=01-08-2024",'Aug-24 CREDIT MIS'!E:E,'Aug Dashboard.'!B126,'Aug-24 CREDIT MIS'!I:I,'Aug Dashboard.'!A126,'Aug-24 CREDIT MIS'!N:N,"Sanjay Arya")/100000</f>
        <v>0</v>
      </c>
      <c r="G126" s="24">
        <f t="shared" si="42"/>
        <v>0</v>
      </c>
      <c r="H126" s="24">
        <f t="shared" si="42"/>
        <v>0</v>
      </c>
      <c r="I126" s="24">
        <f>COUNTIFS('Aug-24 CREDIT MIS'!S:S,"Sanction",'Aug-24 CREDIT MIS'!E:E,'Aug Dashboard.'!B126,'Aug-24 CREDIT MIS'!I:I,'Aug Dashboard.'!A126,'Aug-24 CREDIT MIS'!N:N,'Aug Dashboard.'!$A$131)+COUNTIFS('Aug-24 CREDIT MIS'!S:S,"Disbursed",'Aug-24 CREDIT MIS'!E:E,'Aug Dashboard.'!B126,'Aug-24 CREDIT MIS'!I:I,'Aug Dashboard.'!A126,'Aug-24 CREDIT MIS'!N:N,'Aug Dashboard.'!$A$131)</f>
        <v>0</v>
      </c>
      <c r="J126" s="24">
        <f>SUMIFS('Aug-24 CREDIT MIS'!V:V,'Aug-24 CREDIT MIS'!S:S,"Sanction",'Aug-24 CREDIT MIS'!E:E,'Aug Dashboard.'!B126,'Aug-24 CREDIT MIS'!I:I,'Aug Dashboard.'!A126,'Aug-24 CREDIT MIS'!N:N,'Aug Dashboard.'!$A$131)/100000+SUMIFS('Aug-24 CREDIT MIS'!V:V,'Aug-24 CREDIT MIS'!S:S,"Disbursed",'Aug-24 CREDIT MIS'!E:E,'Aug Dashboard.'!B126,'Aug-24 CREDIT MIS'!I:I,'Aug Dashboard.'!A126,'Aug-24 CREDIT MIS'!N:N,'Aug Dashboard.'!$A$131)/100000</f>
        <v>0</v>
      </c>
      <c r="K126" s="24">
        <f>COUNTIFS('Aug-24 CREDIT MIS'!S:S,"Reject",'Aug-24 CREDIT MIS'!E:E,'Aug Dashboard.'!B126,'Aug-24 CREDIT MIS'!I:I,'Aug Dashboard.'!A126,'Aug-24 CREDIT MIS'!N:N,'Aug Dashboard.'!$A$131)</f>
        <v>0</v>
      </c>
      <c r="L126" s="24">
        <f>SUMIFS('Aug-24 CREDIT MIS'!T:T,'Aug-24 CREDIT MIS'!S:S,"Reject",'Aug-24 CREDIT MIS'!E:E,'Aug Dashboard.'!B126,'Aug-24 CREDIT MIS'!I:I,'Aug Dashboard.'!A126,'Aug-24 CREDIT MIS'!N:N,'Aug Dashboard.'!$A$131)/100000</f>
        <v>0</v>
      </c>
      <c r="M126" s="24">
        <f>COUNTIFS('Aug-24 CREDIT MIS'!S:S,"Recommend",'Aug-24 CREDIT MIS'!E:E,'Aug Dashboard.'!B126,'Aug-24 CREDIT MIS'!I:I,'Aug Dashboard.'!A126,'Aug-24 CREDIT MIS'!N:N,'Aug Dashboard.'!$A$131)</f>
        <v>0</v>
      </c>
      <c r="N126" s="24">
        <f>SUMIFS('Aug-24 CREDIT MIS'!T:T,'Aug-24 CREDIT MIS'!S:S,"Recommend",'Aug-24 CREDIT MIS'!E:E,'Aug Dashboard.'!B126,'Aug-24 CREDIT MIS'!I:I,'Aug Dashboard.'!A126,'Aug-24 CREDIT MIS'!N:N,'Aug Dashboard.'!$A$131)/100000</f>
        <v>0</v>
      </c>
      <c r="O126" s="24">
        <f>COUNTIFS('Aug-24 CREDIT MIS'!S:S,"Query- Sales",'Aug-24 CREDIT MIS'!E:E,'Aug Dashboard.'!B126,'Aug-24 CREDIT MIS'!I:I,'Aug Dashboard.'!A126,'Aug-24 CREDIT MIS'!N:N,'Aug Dashboard.'!$A$131)</f>
        <v>0</v>
      </c>
      <c r="P126" s="24">
        <f>SUMIFS('Aug-24 CREDIT MIS'!T:T,'Aug-24 CREDIT MIS'!S:S,"Query- Sales",'Aug-24 CREDIT MIS'!E:E,'Aug Dashboard.'!B126,'Aug-24 CREDIT MIS'!I:I,'Aug Dashboard.'!A126,'Aug-24 CREDIT MIS'!N:N,'Aug Dashboard.'!$A$131)/100000</f>
        <v>0</v>
      </c>
      <c r="Q126" s="24">
        <f>COUNTIFS('Aug-24 CREDIT MIS'!S:S,"WIP- Credit",'Aug-24 CREDIT MIS'!E:E,'Aug Dashboard.'!B126,'Aug-24 CREDIT MIS'!I:I,'Aug Dashboard.'!A126,'Aug-24 CREDIT MIS'!N:N,'Aug Dashboard.'!$A$131)</f>
        <v>0</v>
      </c>
      <c r="R126" s="24">
        <f>SUMIFS('Aug-24 CREDIT MIS'!T:T,'Aug-24 CREDIT MIS'!S:S,"WIP- Credit",'Aug-24 CREDIT MIS'!E:E,'Aug Dashboard.'!B126,'Aug-24 CREDIT MIS'!I:I,'Aug Dashboard.'!A126,'Aug-24 CREDIT MIS'!N:N,'Aug Dashboard.'!$A$131)/100000</f>
        <v>0</v>
      </c>
      <c r="S126" s="24">
        <f>COUNTIFS('Aug-24 CREDIT MIS'!S:S,"Visit Pending",'Aug-24 CREDIT MIS'!E:E,'Aug Dashboard.'!B126,'Aug-24 CREDIT MIS'!I:I,'Aug Dashboard.'!A126,'Aug-24 CREDIT MIS'!N:N,'Aug Dashboard.'!$A$131)</f>
        <v>0</v>
      </c>
      <c r="T126" s="24">
        <f>SUMIFS('Aug-24 CREDIT MIS'!T:T,'Aug-24 CREDIT MIS'!S:S,"Visit Pending",'Aug-24 CREDIT MIS'!E:E,'Aug Dashboard.'!B126,'Aug-24 CREDIT MIS'!I:I,'Aug Dashboard.'!A126,'Aug-24 CREDIT MIS'!N:N,'Aug Dashboard.'!$A$131)/100000</f>
        <v>0</v>
      </c>
    </row>
    <row r="127" spans="1:20" x14ac:dyDescent="0.25">
      <c r="A127" s="144" t="s">
        <v>489</v>
      </c>
      <c r="B127" s="25" t="s">
        <v>60</v>
      </c>
      <c r="C127" s="24">
        <f>COUNTIFS('Aug-24 CREDIT MIS'!C:C,"&lt;01-08-2024",'Aug-24 CREDIT MIS'!E:E,'Aug Dashboard.'!B127,'Aug-24 CREDIT MIS'!I:I,'Aug Dashboard.'!A127,'Aug-24 CREDIT MIS'!N:N,"Sanjay Arya")</f>
        <v>1</v>
      </c>
      <c r="D127" s="24">
        <f>SUMIFS('Aug-24 CREDIT MIS'!T:T,'Aug-24 CREDIT MIS'!C:C,"&lt;01-08-2024",'Aug-24 CREDIT MIS'!E:E,'Aug Dashboard.'!B127,'Aug-24 CREDIT MIS'!I:I,'Aug Dashboard.'!A127,'Aug-24 CREDIT MIS'!N:N,"Sanjay Arya")/100000</f>
        <v>50</v>
      </c>
      <c r="E127" s="24">
        <f>COUNTIFS('Aug-24 CREDIT MIS'!C:C,"&gt;=01-08-2024",'Aug-24 CREDIT MIS'!E:E,'Aug Dashboard.'!B127,'Aug-24 CREDIT MIS'!I:I,'Aug Dashboard.'!A127,'Aug-24 CREDIT MIS'!N:N,"Sanjay Arya")</f>
        <v>0</v>
      </c>
      <c r="F127" s="24">
        <f>SUMIFS('Aug-24 CREDIT MIS'!T:T,'Aug-24 CREDIT MIS'!C:C,"&gt;=01-08-2024",'Aug-24 CREDIT MIS'!E:E,'Aug Dashboard.'!B127,'Aug-24 CREDIT MIS'!I:I,'Aug Dashboard.'!A127,'Aug-24 CREDIT MIS'!N:N,"Sanjay Arya")/100000</f>
        <v>0</v>
      </c>
      <c r="G127" s="24">
        <f t="shared" ref="G127" si="43">E127+C127</f>
        <v>1</v>
      </c>
      <c r="H127" s="24">
        <f t="shared" ref="H127" si="44">F127+D127</f>
        <v>50</v>
      </c>
      <c r="I127" s="24">
        <f>COUNTIFS('Aug-24 CREDIT MIS'!S:S,"Sanction",'Aug-24 CREDIT MIS'!E:E,'Aug Dashboard.'!B127,'Aug-24 CREDIT MIS'!I:I,'Aug Dashboard.'!A127,'Aug-24 CREDIT MIS'!N:N,'Aug Dashboard.'!$A$131)+COUNTIFS('Aug-24 CREDIT MIS'!S:S,"Disbursed",'Aug-24 CREDIT MIS'!E:E,'Aug Dashboard.'!B127,'Aug-24 CREDIT MIS'!I:I,'Aug Dashboard.'!A127,'Aug-24 CREDIT MIS'!N:N,'Aug Dashboard.'!$A$131)</f>
        <v>0</v>
      </c>
      <c r="J127" s="24">
        <f>SUMIFS('Aug-24 CREDIT MIS'!V:V,'Aug-24 CREDIT MIS'!S:S,"Sanction",'Aug-24 CREDIT MIS'!E:E,'Aug Dashboard.'!B127,'Aug-24 CREDIT MIS'!I:I,'Aug Dashboard.'!A127,'Aug-24 CREDIT MIS'!N:N,'Aug Dashboard.'!$A$131)/100000+SUMIFS('Aug-24 CREDIT MIS'!V:V,'Aug-24 CREDIT MIS'!S:S,"Disbursed",'Aug-24 CREDIT MIS'!E:E,'Aug Dashboard.'!B127,'Aug-24 CREDIT MIS'!I:I,'Aug Dashboard.'!A127,'Aug-24 CREDIT MIS'!N:N,'Aug Dashboard.'!$A$131)/100000</f>
        <v>0</v>
      </c>
      <c r="K127" s="24">
        <f>COUNTIFS('Aug-24 CREDIT MIS'!S:S,"Reject",'Aug-24 CREDIT MIS'!E:E,'Aug Dashboard.'!B127,'Aug-24 CREDIT MIS'!I:I,'Aug Dashboard.'!A127,'Aug-24 CREDIT MIS'!N:N,'Aug Dashboard.'!$A$131)</f>
        <v>0</v>
      </c>
      <c r="L127" s="24">
        <f>SUMIFS('Aug-24 CREDIT MIS'!T:T,'Aug-24 CREDIT MIS'!S:S,"Reject",'Aug-24 CREDIT MIS'!E:E,'Aug Dashboard.'!B127,'Aug-24 CREDIT MIS'!I:I,'Aug Dashboard.'!A127,'Aug-24 CREDIT MIS'!N:N,'Aug Dashboard.'!$A$131)/100000</f>
        <v>0</v>
      </c>
      <c r="M127" s="24">
        <f>COUNTIFS('Aug-24 CREDIT MIS'!S:S,"Recommend",'Aug-24 CREDIT MIS'!E:E,'Aug Dashboard.'!B127,'Aug-24 CREDIT MIS'!I:I,'Aug Dashboard.'!A127,'Aug-24 CREDIT MIS'!N:N,'Aug Dashboard.'!$A$131)</f>
        <v>0</v>
      </c>
      <c r="N127" s="24">
        <f>SUMIFS('Aug-24 CREDIT MIS'!T:T,'Aug-24 CREDIT MIS'!S:S,"Recommend",'Aug-24 CREDIT MIS'!E:E,'Aug Dashboard.'!B127,'Aug-24 CREDIT MIS'!I:I,'Aug Dashboard.'!A127,'Aug-24 CREDIT MIS'!N:N,'Aug Dashboard.'!$A$131)/100000</f>
        <v>0</v>
      </c>
      <c r="O127" s="24">
        <f>COUNTIFS('Aug-24 CREDIT MIS'!S:S,"Query- Sales",'Aug-24 CREDIT MIS'!E:E,'Aug Dashboard.'!B127,'Aug-24 CREDIT MIS'!I:I,'Aug Dashboard.'!A127,'Aug-24 CREDIT MIS'!N:N,'Aug Dashboard.'!$A$131)</f>
        <v>1</v>
      </c>
      <c r="P127" s="24">
        <f>SUMIFS('Aug-24 CREDIT MIS'!T:T,'Aug-24 CREDIT MIS'!S:S,"Query- Sales",'Aug-24 CREDIT MIS'!E:E,'Aug Dashboard.'!B127,'Aug-24 CREDIT MIS'!I:I,'Aug Dashboard.'!A127,'Aug-24 CREDIT MIS'!N:N,'Aug Dashboard.'!$A$131)/100000</f>
        <v>50</v>
      </c>
      <c r="Q127" s="24">
        <f>COUNTIFS('Aug-24 CREDIT MIS'!S:S,"WIP- Credit",'Aug-24 CREDIT MIS'!E:E,'Aug Dashboard.'!B127,'Aug-24 CREDIT MIS'!I:I,'Aug Dashboard.'!A127,'Aug-24 CREDIT MIS'!N:N,'Aug Dashboard.'!$A$131)</f>
        <v>0</v>
      </c>
      <c r="R127" s="24">
        <f>SUMIFS('Aug-24 CREDIT MIS'!T:T,'Aug-24 CREDIT MIS'!S:S,"WIP- Credit",'Aug-24 CREDIT MIS'!E:E,'Aug Dashboard.'!B127,'Aug-24 CREDIT MIS'!I:I,'Aug Dashboard.'!A127,'Aug-24 CREDIT MIS'!N:N,'Aug Dashboard.'!$A$131)/100000</f>
        <v>0</v>
      </c>
      <c r="S127" s="24">
        <f>COUNTIFS('Aug-24 CREDIT MIS'!S:S,"Visit Pending",'Aug-24 CREDIT MIS'!E:E,'Aug Dashboard.'!B127,'Aug-24 CREDIT MIS'!I:I,'Aug Dashboard.'!A127,'Aug-24 CREDIT MIS'!N:N,'Aug Dashboard.'!$A$131)</f>
        <v>0</v>
      </c>
      <c r="T127" s="24">
        <f>SUMIFS('Aug-24 CREDIT MIS'!T:T,'Aug-24 CREDIT MIS'!S:S,"Visit Pending",'Aug-24 CREDIT MIS'!E:E,'Aug Dashboard.'!B127,'Aug-24 CREDIT MIS'!I:I,'Aug Dashboard.'!A127,'Aug-24 CREDIT MIS'!N:N,'Aug Dashboard.'!$A$131)/100000</f>
        <v>0</v>
      </c>
    </row>
    <row r="128" spans="1:20" x14ac:dyDescent="0.25">
      <c r="A128" s="30" t="s">
        <v>196</v>
      </c>
      <c r="B128" s="25" t="s">
        <v>8</v>
      </c>
      <c r="C128" s="24">
        <f>COUNTIFS('Aug-24 CREDIT MIS'!C:C,"&lt;01-08-2024",'Aug-24 CREDIT MIS'!E:E,'Aug Dashboard.'!B128,'Aug-24 CREDIT MIS'!I:I,'Aug Dashboard.'!A128,'Aug-24 CREDIT MIS'!N:N,"Sanjay Arya")</f>
        <v>0</v>
      </c>
      <c r="D128" s="24">
        <f>SUMIFS('Aug-24 CREDIT MIS'!T:T,'Aug-24 CREDIT MIS'!C:C,"&lt;01-08-2024",'Aug-24 CREDIT MIS'!E:E,'Aug Dashboard.'!B128,'Aug-24 CREDIT MIS'!I:I,'Aug Dashboard.'!A128,'Aug-24 CREDIT MIS'!N:N,"Sanjay Arya")/100000</f>
        <v>0</v>
      </c>
      <c r="E128" s="24">
        <f>COUNTIFS('Aug-24 CREDIT MIS'!C:C,"&gt;=01-08-2024",'Aug-24 CREDIT MIS'!E:E,'Aug Dashboard.'!B128,'Aug-24 CREDIT MIS'!I:I,'Aug Dashboard.'!A128,'Aug-24 CREDIT MIS'!N:N,"Sanjay Arya")</f>
        <v>1</v>
      </c>
      <c r="F128" s="24">
        <f>SUMIFS('Aug-24 CREDIT MIS'!T:T,'Aug-24 CREDIT MIS'!C:C,"&gt;=01-08-2024",'Aug-24 CREDIT MIS'!E:E,'Aug Dashboard.'!B128,'Aug-24 CREDIT MIS'!I:I,'Aug Dashboard.'!A128,'Aug-24 CREDIT MIS'!N:N,"Sanjay Arya")/100000</f>
        <v>7</v>
      </c>
      <c r="G128" s="24">
        <f t="shared" si="42"/>
        <v>1</v>
      </c>
      <c r="H128" s="24">
        <f t="shared" si="42"/>
        <v>7</v>
      </c>
      <c r="I128" s="24">
        <f>COUNTIFS('Aug-24 CREDIT MIS'!S:S,"Sanction",'Aug-24 CREDIT MIS'!E:E,'Aug Dashboard.'!B128,'Aug-24 CREDIT MIS'!I:I,'Aug Dashboard.'!A128,'Aug-24 CREDIT MIS'!N:N,'Aug Dashboard.'!$A$131)+COUNTIFS('Aug-24 CREDIT MIS'!S:S,"Disbursed",'Aug-24 CREDIT MIS'!E:E,'Aug Dashboard.'!B128,'Aug-24 CREDIT MIS'!I:I,'Aug Dashboard.'!A128,'Aug-24 CREDIT MIS'!N:N,'Aug Dashboard.'!$A$131)</f>
        <v>0</v>
      </c>
      <c r="J128" s="24">
        <f>SUMIFS('Aug-24 CREDIT MIS'!V:V,'Aug-24 CREDIT MIS'!S:S,"Sanction",'Aug-24 CREDIT MIS'!E:E,'Aug Dashboard.'!B128,'Aug-24 CREDIT MIS'!I:I,'Aug Dashboard.'!A128,'Aug-24 CREDIT MIS'!N:N,'Aug Dashboard.'!$A$131)/100000+SUMIFS('Aug-24 CREDIT MIS'!V:V,'Aug-24 CREDIT MIS'!S:S,"Disbursed",'Aug-24 CREDIT MIS'!E:E,'Aug Dashboard.'!B128,'Aug-24 CREDIT MIS'!I:I,'Aug Dashboard.'!A128,'Aug-24 CREDIT MIS'!N:N,'Aug Dashboard.'!$A$131)/100000</f>
        <v>0</v>
      </c>
      <c r="K128" s="24">
        <f>COUNTIFS('Aug-24 CREDIT MIS'!S:S,"Reject",'Aug-24 CREDIT MIS'!E:E,'Aug Dashboard.'!B128,'Aug-24 CREDIT MIS'!I:I,'Aug Dashboard.'!A128,'Aug-24 CREDIT MIS'!N:N,'Aug Dashboard.'!$A$131)</f>
        <v>0</v>
      </c>
      <c r="L128" s="24">
        <f>SUMIFS('Aug-24 CREDIT MIS'!T:T,'Aug-24 CREDIT MIS'!S:S,"Reject",'Aug-24 CREDIT MIS'!E:E,'Aug Dashboard.'!B128,'Aug-24 CREDIT MIS'!I:I,'Aug Dashboard.'!A128,'Aug-24 CREDIT MIS'!N:N,'Aug Dashboard.'!$A$131)/100000</f>
        <v>0</v>
      </c>
      <c r="M128" s="24">
        <f>COUNTIFS('Aug-24 CREDIT MIS'!S:S,"Recommend",'Aug-24 CREDIT MIS'!E:E,'Aug Dashboard.'!B128,'Aug-24 CREDIT MIS'!I:I,'Aug Dashboard.'!A128,'Aug-24 CREDIT MIS'!N:N,'Aug Dashboard.'!$A$131)</f>
        <v>0</v>
      </c>
      <c r="N128" s="24">
        <f>SUMIFS('Aug-24 CREDIT MIS'!T:T,'Aug-24 CREDIT MIS'!S:S,"Recommend",'Aug-24 CREDIT MIS'!E:E,'Aug Dashboard.'!B128,'Aug-24 CREDIT MIS'!I:I,'Aug Dashboard.'!A128,'Aug-24 CREDIT MIS'!N:N,'Aug Dashboard.'!$A$131)/100000</f>
        <v>0</v>
      </c>
      <c r="O128" s="24">
        <f>COUNTIFS('Aug-24 CREDIT MIS'!S:S,"Query- Sales",'Aug-24 CREDIT MIS'!E:E,'Aug Dashboard.'!B128,'Aug-24 CREDIT MIS'!I:I,'Aug Dashboard.'!A128,'Aug-24 CREDIT MIS'!N:N,'Aug Dashboard.'!$A$131)</f>
        <v>0</v>
      </c>
      <c r="P128" s="24">
        <f>SUMIFS('Aug-24 CREDIT MIS'!T:T,'Aug-24 CREDIT MIS'!S:S,"Query- Sales",'Aug-24 CREDIT MIS'!E:E,'Aug Dashboard.'!B128,'Aug-24 CREDIT MIS'!I:I,'Aug Dashboard.'!A128,'Aug-24 CREDIT MIS'!N:N,'Aug Dashboard.'!$A$131)/100000</f>
        <v>0</v>
      </c>
      <c r="Q128" s="24">
        <f>COUNTIFS('Aug-24 CREDIT MIS'!S:S,"WIP- Credit",'Aug-24 CREDIT MIS'!E:E,'Aug Dashboard.'!B128,'Aug-24 CREDIT MIS'!I:I,'Aug Dashboard.'!A128,'Aug-24 CREDIT MIS'!N:N,'Aug Dashboard.'!$A$131)</f>
        <v>0</v>
      </c>
      <c r="R128" s="24">
        <f>SUMIFS('Aug-24 CREDIT MIS'!T:T,'Aug-24 CREDIT MIS'!S:S,"WIP- Credit",'Aug-24 CREDIT MIS'!E:E,'Aug Dashboard.'!B128,'Aug-24 CREDIT MIS'!I:I,'Aug Dashboard.'!A128,'Aug-24 CREDIT MIS'!N:N,'Aug Dashboard.'!$A$131)/100000</f>
        <v>0</v>
      </c>
      <c r="S128" s="24">
        <f>COUNTIFS('Aug-24 CREDIT MIS'!S:S,"Visit Pending",'Aug-24 CREDIT MIS'!E:E,'Aug Dashboard.'!B128,'Aug-24 CREDIT MIS'!I:I,'Aug Dashboard.'!A128,'Aug-24 CREDIT MIS'!N:N,'Aug Dashboard.'!$A$131)</f>
        <v>1</v>
      </c>
      <c r="T128" s="24">
        <f>SUMIFS('Aug-24 CREDIT MIS'!T:T,'Aug-24 CREDIT MIS'!S:S,"Visit Pending",'Aug-24 CREDIT MIS'!E:E,'Aug Dashboard.'!B128,'Aug-24 CREDIT MIS'!I:I,'Aug Dashboard.'!A128,'Aug-24 CREDIT MIS'!N:N,'Aug Dashboard.'!$A$131)/100000</f>
        <v>7</v>
      </c>
    </row>
    <row r="129" spans="1:20" x14ac:dyDescent="0.25">
      <c r="A129" s="51" t="s">
        <v>470</v>
      </c>
      <c r="B129" s="25" t="s">
        <v>79</v>
      </c>
      <c r="C129" s="24">
        <f>COUNTIFS('Aug-24 CREDIT MIS'!C:C,"&lt;01-08-2024",'Aug-24 CREDIT MIS'!E:E,'Aug Dashboard.'!B129,'Aug-24 CREDIT MIS'!I:I,'Aug Dashboard.'!A129,'Aug-24 CREDIT MIS'!N:N,"Sanjay Arya")</f>
        <v>1</v>
      </c>
      <c r="D129" s="24">
        <f>SUMIFS('Aug-24 CREDIT MIS'!T:T,'Aug-24 CREDIT MIS'!C:C,"&lt;01-08-2024",'Aug-24 CREDIT MIS'!E:E,'Aug Dashboard.'!B129,'Aug-24 CREDIT MIS'!I:I,'Aug Dashboard.'!A129,'Aug-24 CREDIT MIS'!N:N,"Sanjay Arya")/100000</f>
        <v>9.9</v>
      </c>
      <c r="E129" s="24">
        <f>COUNTIFS('Aug-24 CREDIT MIS'!C:C,"&gt;=01-08-2024",'Aug-24 CREDIT MIS'!E:E,'Aug Dashboard.'!B129,'Aug-24 CREDIT MIS'!I:I,'Aug Dashboard.'!A129,'Aug-24 CREDIT MIS'!N:N,"Sanjay Arya")</f>
        <v>2</v>
      </c>
      <c r="F129" s="24">
        <f>SUMIFS('Aug-24 CREDIT MIS'!T:T,'Aug-24 CREDIT MIS'!C:C,"&gt;=01-08-2024",'Aug-24 CREDIT MIS'!E:E,'Aug Dashboard.'!B129,'Aug-24 CREDIT MIS'!I:I,'Aug Dashboard.'!A129,'Aug-24 CREDIT MIS'!N:N,"Sanjay Arya")/100000</f>
        <v>14</v>
      </c>
      <c r="G129" s="24">
        <f t="shared" si="42"/>
        <v>3</v>
      </c>
      <c r="H129" s="24">
        <f t="shared" si="42"/>
        <v>23.9</v>
      </c>
      <c r="I129" s="24">
        <f>COUNTIFS('Aug-24 CREDIT MIS'!S:S,"Sanction",'Aug-24 CREDIT MIS'!E:E,'Aug Dashboard.'!B129,'Aug-24 CREDIT MIS'!I:I,'Aug Dashboard.'!A129,'Aug-24 CREDIT MIS'!N:N,'Aug Dashboard.'!$A$131)+COUNTIFS('Aug-24 CREDIT MIS'!S:S,"Disbursed",'Aug-24 CREDIT MIS'!E:E,'Aug Dashboard.'!B129,'Aug-24 CREDIT MIS'!I:I,'Aug Dashboard.'!A129,'Aug-24 CREDIT MIS'!N:N,'Aug Dashboard.'!$A$131)</f>
        <v>0</v>
      </c>
      <c r="J129" s="24">
        <f>SUMIFS('Aug-24 CREDIT MIS'!V:V,'Aug-24 CREDIT MIS'!S:S,"Sanction",'Aug-24 CREDIT MIS'!E:E,'Aug Dashboard.'!B129,'Aug-24 CREDIT MIS'!I:I,'Aug Dashboard.'!A129,'Aug-24 CREDIT MIS'!N:N,'Aug Dashboard.'!$A$131)/100000+SUMIFS('Aug-24 CREDIT MIS'!V:V,'Aug-24 CREDIT MIS'!S:S,"Disbursed",'Aug-24 CREDIT MIS'!E:E,'Aug Dashboard.'!B129,'Aug-24 CREDIT MIS'!I:I,'Aug Dashboard.'!A129,'Aug-24 CREDIT MIS'!N:N,'Aug Dashboard.'!$A$131)/100000</f>
        <v>0</v>
      </c>
      <c r="K129" s="24">
        <f>COUNTIFS('Aug-24 CREDIT MIS'!S:S,"Reject",'Aug-24 CREDIT MIS'!E:E,'Aug Dashboard.'!B129,'Aug-24 CREDIT MIS'!I:I,'Aug Dashboard.'!A129,'Aug-24 CREDIT MIS'!N:N,'Aug Dashboard.'!$A$131)</f>
        <v>1</v>
      </c>
      <c r="L129" s="24">
        <f>SUMIFS('Aug-24 CREDIT MIS'!T:T,'Aug-24 CREDIT MIS'!S:S,"Reject",'Aug-24 CREDIT MIS'!E:E,'Aug Dashboard.'!B129,'Aug-24 CREDIT MIS'!I:I,'Aug Dashboard.'!A129,'Aug-24 CREDIT MIS'!N:N,'Aug Dashboard.'!$A$131)/100000</f>
        <v>9.9</v>
      </c>
      <c r="M129" s="24">
        <f>COUNTIFS('Aug-24 CREDIT MIS'!S:S,"Recommend",'Aug-24 CREDIT MIS'!E:E,'Aug Dashboard.'!B129,'Aug-24 CREDIT MIS'!I:I,'Aug Dashboard.'!A129,'Aug-24 CREDIT MIS'!N:N,'Aug Dashboard.'!$A$131)</f>
        <v>0</v>
      </c>
      <c r="N129" s="24">
        <f>SUMIFS('Aug-24 CREDIT MIS'!T:T,'Aug-24 CREDIT MIS'!S:S,"Recommend",'Aug-24 CREDIT MIS'!E:E,'Aug Dashboard.'!B129,'Aug-24 CREDIT MIS'!I:I,'Aug Dashboard.'!A129,'Aug-24 CREDIT MIS'!N:N,'Aug Dashboard.'!$A$131)/100000</f>
        <v>0</v>
      </c>
      <c r="O129" s="24">
        <f>COUNTIFS('Aug-24 CREDIT MIS'!S:S,"Query- Sales",'Aug-24 CREDIT MIS'!E:E,'Aug Dashboard.'!B129,'Aug-24 CREDIT MIS'!I:I,'Aug Dashboard.'!A129,'Aug-24 CREDIT MIS'!N:N,'Aug Dashboard.'!$A$131)</f>
        <v>0</v>
      </c>
      <c r="P129" s="24">
        <f>SUMIFS('Aug-24 CREDIT MIS'!T:T,'Aug-24 CREDIT MIS'!S:S,"Query- Sales",'Aug-24 CREDIT MIS'!E:E,'Aug Dashboard.'!B129,'Aug-24 CREDIT MIS'!I:I,'Aug Dashboard.'!A129,'Aug-24 CREDIT MIS'!N:N,'Aug Dashboard.'!$A$131)/100000</f>
        <v>0</v>
      </c>
      <c r="Q129" s="24">
        <f>COUNTIFS('Aug-24 CREDIT MIS'!S:S,"WIP- Credit",'Aug-24 CREDIT MIS'!E:E,'Aug Dashboard.'!B129,'Aug-24 CREDIT MIS'!I:I,'Aug Dashboard.'!A129,'Aug-24 CREDIT MIS'!N:N,'Aug Dashboard.'!$A$131)</f>
        <v>1</v>
      </c>
      <c r="R129" s="24">
        <f>SUMIFS('Aug-24 CREDIT MIS'!T:T,'Aug-24 CREDIT MIS'!S:S,"WIP- Credit",'Aug-24 CREDIT MIS'!E:E,'Aug Dashboard.'!B129,'Aug-24 CREDIT MIS'!I:I,'Aug Dashboard.'!A129,'Aug-24 CREDIT MIS'!N:N,'Aug Dashboard.'!$A$131)/100000</f>
        <v>5</v>
      </c>
      <c r="S129" s="24">
        <f>COUNTIFS('Aug-24 CREDIT MIS'!S:S,"Visit Pending",'Aug-24 CREDIT MIS'!E:E,'Aug Dashboard.'!B129,'Aug-24 CREDIT MIS'!I:I,'Aug Dashboard.'!A129,'Aug-24 CREDIT MIS'!N:N,'Aug Dashboard.'!$A$131)</f>
        <v>1</v>
      </c>
      <c r="T129" s="24">
        <f>SUMIFS('Aug-24 CREDIT MIS'!T:T,'Aug-24 CREDIT MIS'!S:S,"Visit Pending",'Aug-24 CREDIT MIS'!E:E,'Aug Dashboard.'!B129,'Aug-24 CREDIT MIS'!I:I,'Aug Dashboard.'!A129,'Aug-24 CREDIT MIS'!N:N,'Aug Dashboard.'!$A$131)/100000</f>
        <v>9</v>
      </c>
    </row>
    <row r="130" spans="1:20" x14ac:dyDescent="0.25">
      <c r="A130" s="30" t="s">
        <v>195</v>
      </c>
      <c r="B130" s="25" t="s">
        <v>8</v>
      </c>
      <c r="C130" s="24">
        <f>COUNTIFS('Aug-24 CREDIT MIS'!C:C,"&lt;01-08-2024",'Aug-24 CREDIT MIS'!E:E,'Aug Dashboard.'!B130,'Aug-24 CREDIT MIS'!I:I,'Aug Dashboard.'!A130,'Aug-24 CREDIT MIS'!N:N,"Sanjay Arya")</f>
        <v>0</v>
      </c>
      <c r="D130" s="24">
        <f>SUMIFS('Aug-24 CREDIT MIS'!T:T,'Aug-24 CREDIT MIS'!C:C,"&lt;01-08-2024",'Aug-24 CREDIT MIS'!E:E,'Aug Dashboard.'!B130,'Aug-24 CREDIT MIS'!I:I,'Aug Dashboard.'!A130,'Aug-24 CREDIT MIS'!N:N,"Sanjay Arya")/100000</f>
        <v>0</v>
      </c>
      <c r="E130" s="24">
        <f>COUNTIFS('Aug-24 CREDIT MIS'!C:C,"&gt;=01-08-2024",'Aug-24 CREDIT MIS'!E:E,'Aug Dashboard.'!B130,'Aug-24 CREDIT MIS'!I:I,'Aug Dashboard.'!A130,'Aug-24 CREDIT MIS'!N:N,"Sanjay Arya")</f>
        <v>0</v>
      </c>
      <c r="F130" s="24">
        <f>SUMIFS('Aug-24 CREDIT MIS'!T:T,'Aug-24 CREDIT MIS'!C:C,"&gt;=01-08-2024",'Aug-24 CREDIT MIS'!E:E,'Aug Dashboard.'!B130,'Aug-24 CREDIT MIS'!I:I,'Aug Dashboard.'!A130,'Aug-24 CREDIT MIS'!N:N,"Sanjay Arya")/100000</f>
        <v>0</v>
      </c>
      <c r="G130" s="24">
        <f t="shared" si="42"/>
        <v>0</v>
      </c>
      <c r="H130" s="24">
        <f t="shared" si="42"/>
        <v>0</v>
      </c>
      <c r="I130" s="24">
        <f>COUNTIFS('Aug-24 CREDIT MIS'!S:S,"Sanction",'Aug-24 CREDIT MIS'!E:E,'Aug Dashboard.'!B130,'Aug-24 CREDIT MIS'!I:I,'Aug Dashboard.'!A130,'Aug-24 CREDIT MIS'!N:N,'Aug Dashboard.'!$A$131)+COUNTIFS('Aug-24 CREDIT MIS'!S:S,"Disbursed",'Aug-24 CREDIT MIS'!E:E,'Aug Dashboard.'!B130,'Aug-24 CREDIT MIS'!I:I,'Aug Dashboard.'!A130,'Aug-24 CREDIT MIS'!N:N,'Aug Dashboard.'!$A$131)</f>
        <v>0</v>
      </c>
      <c r="J130" s="24">
        <f>SUMIFS('Aug-24 CREDIT MIS'!V:V,'Aug-24 CREDIT MIS'!S:S,"Sanction",'Aug-24 CREDIT MIS'!E:E,'Aug Dashboard.'!B130,'Aug-24 CREDIT MIS'!I:I,'Aug Dashboard.'!A130,'Aug-24 CREDIT MIS'!N:N,'Aug Dashboard.'!$A$131)/100000+SUMIFS('Aug-24 CREDIT MIS'!V:V,'Aug-24 CREDIT MIS'!S:S,"Disbursed",'Aug-24 CREDIT MIS'!E:E,'Aug Dashboard.'!B130,'Aug-24 CREDIT MIS'!I:I,'Aug Dashboard.'!A130,'Aug-24 CREDIT MIS'!N:N,'Aug Dashboard.'!$A$131)/100000</f>
        <v>0</v>
      </c>
      <c r="K130" s="24">
        <f>COUNTIFS('Aug-24 CREDIT MIS'!S:S,"Reject",'Aug-24 CREDIT MIS'!E:E,'Aug Dashboard.'!B130,'Aug-24 CREDIT MIS'!I:I,'Aug Dashboard.'!A130,'Aug-24 CREDIT MIS'!N:N,'Aug Dashboard.'!$A$131)</f>
        <v>0</v>
      </c>
      <c r="L130" s="24">
        <f>SUMIFS('Aug-24 CREDIT MIS'!T:T,'Aug-24 CREDIT MIS'!S:S,"Reject",'Aug-24 CREDIT MIS'!E:E,'Aug Dashboard.'!B130,'Aug-24 CREDIT MIS'!I:I,'Aug Dashboard.'!A130,'Aug-24 CREDIT MIS'!N:N,'Aug Dashboard.'!$A$131)/100000</f>
        <v>0</v>
      </c>
      <c r="M130" s="24">
        <f>COUNTIFS('Aug-24 CREDIT MIS'!S:S,"Recommend",'Aug-24 CREDIT MIS'!E:E,'Aug Dashboard.'!B130,'Aug-24 CREDIT MIS'!I:I,'Aug Dashboard.'!A130,'Aug-24 CREDIT MIS'!N:N,'Aug Dashboard.'!$A$131)</f>
        <v>0</v>
      </c>
      <c r="N130" s="24">
        <f>SUMIFS('Aug-24 CREDIT MIS'!T:T,'Aug-24 CREDIT MIS'!S:S,"Recommend",'Aug-24 CREDIT MIS'!E:E,'Aug Dashboard.'!B130,'Aug-24 CREDIT MIS'!I:I,'Aug Dashboard.'!A130,'Aug-24 CREDIT MIS'!N:N,'Aug Dashboard.'!$A$131)/100000</f>
        <v>0</v>
      </c>
      <c r="O130" s="24">
        <f>COUNTIFS('Aug-24 CREDIT MIS'!S:S,"Query- Sales",'Aug-24 CREDIT MIS'!E:E,'Aug Dashboard.'!B130,'Aug-24 CREDIT MIS'!I:I,'Aug Dashboard.'!A130,'Aug-24 CREDIT MIS'!N:N,'Aug Dashboard.'!$A$131)</f>
        <v>0</v>
      </c>
      <c r="P130" s="24">
        <f>SUMIFS('Aug-24 CREDIT MIS'!T:T,'Aug-24 CREDIT MIS'!S:S,"Query- Sales",'Aug-24 CREDIT MIS'!E:E,'Aug Dashboard.'!B130,'Aug-24 CREDIT MIS'!I:I,'Aug Dashboard.'!A130,'Aug-24 CREDIT MIS'!N:N,'Aug Dashboard.'!$A$131)/100000</f>
        <v>0</v>
      </c>
      <c r="Q130" s="24">
        <f>COUNTIFS('Aug-24 CREDIT MIS'!S:S,"WIP- Credit",'Aug-24 CREDIT MIS'!E:E,'Aug Dashboard.'!B130,'Aug-24 CREDIT MIS'!I:I,'Aug Dashboard.'!A130,'Aug-24 CREDIT MIS'!N:N,'Aug Dashboard.'!$A$131)</f>
        <v>0</v>
      </c>
      <c r="R130" s="24">
        <f>SUMIFS('Aug-24 CREDIT MIS'!T:T,'Aug-24 CREDIT MIS'!S:S,"WIP- Credit",'Aug-24 CREDIT MIS'!E:E,'Aug Dashboard.'!B130,'Aug-24 CREDIT MIS'!I:I,'Aug Dashboard.'!A130,'Aug-24 CREDIT MIS'!N:N,'Aug Dashboard.'!$A$131)/100000</f>
        <v>0</v>
      </c>
      <c r="S130" s="24">
        <f>COUNTIFS('Aug-24 CREDIT MIS'!S:S,"Visit Pending",'Aug-24 CREDIT MIS'!E:E,'Aug Dashboard.'!B130,'Aug-24 CREDIT MIS'!I:I,'Aug Dashboard.'!A130,'Aug-24 CREDIT MIS'!N:N,'Aug Dashboard.'!$A$131)</f>
        <v>0</v>
      </c>
      <c r="T130" s="24">
        <f>SUMIFS('Aug-24 CREDIT MIS'!T:T,'Aug-24 CREDIT MIS'!S:S,"Visit Pending",'Aug-24 CREDIT MIS'!E:E,'Aug Dashboard.'!B130,'Aug-24 CREDIT MIS'!I:I,'Aug Dashboard.'!A130,'Aug-24 CREDIT MIS'!N:N,'Aug Dashboard.'!$A$131)/100000</f>
        <v>0</v>
      </c>
    </row>
    <row r="131" spans="1:20" x14ac:dyDescent="0.25">
      <c r="A131" s="183" t="s">
        <v>34</v>
      </c>
      <c r="B131" s="184"/>
      <c r="C131" s="24">
        <f t="shared" ref="C131:T131" si="45">SUM(C125:C130)</f>
        <v>2</v>
      </c>
      <c r="D131" s="24">
        <f t="shared" si="45"/>
        <v>59.9</v>
      </c>
      <c r="E131" s="24">
        <f t="shared" si="45"/>
        <v>4</v>
      </c>
      <c r="F131" s="24">
        <f t="shared" si="45"/>
        <v>30.9</v>
      </c>
      <c r="G131" s="24">
        <f t="shared" si="45"/>
        <v>6</v>
      </c>
      <c r="H131" s="24">
        <f t="shared" si="45"/>
        <v>90.800000000000011</v>
      </c>
      <c r="I131" s="24">
        <f t="shared" si="45"/>
        <v>0</v>
      </c>
      <c r="J131" s="24">
        <f t="shared" si="45"/>
        <v>0</v>
      </c>
      <c r="K131" s="24">
        <f t="shared" si="45"/>
        <v>1</v>
      </c>
      <c r="L131" s="24">
        <f t="shared" si="45"/>
        <v>9.9</v>
      </c>
      <c r="M131" s="24">
        <f t="shared" si="45"/>
        <v>1</v>
      </c>
      <c r="N131" s="24">
        <f t="shared" si="45"/>
        <v>9.9</v>
      </c>
      <c r="O131" s="24">
        <f t="shared" si="45"/>
        <v>1</v>
      </c>
      <c r="P131" s="24">
        <f t="shared" si="45"/>
        <v>50</v>
      </c>
      <c r="Q131" s="24">
        <f t="shared" si="45"/>
        <v>1</v>
      </c>
      <c r="R131" s="24">
        <f t="shared" si="45"/>
        <v>5</v>
      </c>
      <c r="S131" s="24">
        <f t="shared" si="45"/>
        <v>2</v>
      </c>
      <c r="T131" s="24">
        <f t="shared" si="45"/>
        <v>16</v>
      </c>
    </row>
    <row r="132" spans="1:20" ht="15" customHeight="1" x14ac:dyDescent="0.25">
      <c r="A132" s="24" t="s">
        <v>134</v>
      </c>
      <c r="B132" s="61" t="s">
        <v>134</v>
      </c>
      <c r="C132" s="24">
        <f>COUNTIFS('Aug-24 CREDIT MIS'!C:C,"&lt;01-08-2024",'Aug-24 CREDIT MIS'!E:E,'Aug Dashboard.'!B132,'Aug-24 CREDIT MIS'!I:I,'Aug Dashboard.'!A132,'Aug-24 CREDIT MIS'!N:N,"JAIPUR ho")</f>
        <v>1</v>
      </c>
      <c r="D132" s="24">
        <f>SUMIFS('Aug-24 CREDIT MIS'!T:T,'Aug-24 CREDIT MIS'!C:C,"&lt;01-08-2024",'Aug-24 CREDIT MIS'!E:E,'Aug Dashboard.'!B132,'Aug-24 CREDIT MIS'!I:I,'Aug Dashboard.'!A132,'Aug-24 CREDIT MIS'!N:N,"JAIPUR ho")/100000</f>
        <v>35</v>
      </c>
      <c r="E132" s="24">
        <f>COUNTIFS('Aug-24 CREDIT MIS'!C:C,"&gt;=01-08-2024",'Aug-24 CREDIT MIS'!E:E,'Aug Dashboard.'!B132,'Aug-24 CREDIT MIS'!I:I,'Aug Dashboard.'!A132,'Aug-24 CREDIT MIS'!N:N,"JAIPUR ho")</f>
        <v>0</v>
      </c>
      <c r="F132" s="24">
        <f>SUMIFS('Aug-24 CREDIT MIS'!T:T,'Aug-24 CREDIT MIS'!C:C,"&gt;=01-08-2024",'Aug-24 CREDIT MIS'!E:E,'Aug Dashboard.'!B132,'Aug-24 CREDIT MIS'!I:I,'Aug Dashboard.'!A132,'Aug-24 CREDIT MIS'!N:N,"JAIPUR ho")/100000</f>
        <v>0</v>
      </c>
      <c r="G132" s="24">
        <f t="shared" ref="G132:G133" si="46">E132+C132</f>
        <v>1</v>
      </c>
      <c r="H132" s="24">
        <f t="shared" ref="H132:H133" si="47">F132+D132</f>
        <v>35</v>
      </c>
      <c r="I132" s="24">
        <f>COUNTIFS('Aug-24 CREDIT MIS'!S:S,"Sanction",'Aug-24 CREDIT MIS'!E:E,'Aug Dashboard.'!B132,'Aug-24 CREDIT MIS'!I:I,'Aug Dashboard.'!A132,'Aug-24 CREDIT MIS'!N:N,'Aug Dashboard.'!$A$132)+COUNTIFS('Aug-24 CREDIT MIS'!S:S,"Disbursed",'Aug-24 CREDIT MIS'!E:E,'Aug Dashboard.'!B132,'Aug-24 CREDIT MIS'!I:I,'Aug Dashboard.'!A132,'Aug-24 CREDIT MIS'!N:N,'Aug Dashboard.'!$A$132)</f>
        <v>0</v>
      </c>
      <c r="J132" s="24">
        <f>SUMIFS('Aug-24 CREDIT MIS'!V:V,'Aug-24 CREDIT MIS'!S:S,"Sanction",'Aug-24 CREDIT MIS'!E:E,'Aug Dashboard.'!B132,'Aug-24 CREDIT MIS'!I:I,'Aug Dashboard.'!A132,'Aug-24 CREDIT MIS'!N:N,'Aug Dashboard.'!$A$132)/100000+SUMIFS('Aug-24 CREDIT MIS'!V:V,'Aug-24 CREDIT MIS'!S:S,"Disbursed",'Aug-24 CREDIT MIS'!E:E,'Aug Dashboard.'!B132,'Aug-24 CREDIT MIS'!I:I,'Aug Dashboard.'!A132,'Aug-24 CREDIT MIS'!N:N,'Aug Dashboard.'!$A$132)/100000</f>
        <v>0</v>
      </c>
      <c r="K132" s="24">
        <f>COUNTIFS('Aug-24 CREDIT MIS'!S:S,"Reject",'Aug-24 CREDIT MIS'!E:E,'Aug Dashboard.'!B132,'Aug-24 CREDIT MIS'!I:I,'Aug Dashboard.'!A132,'Aug-24 CREDIT MIS'!N:N,'Aug Dashboard.'!$A$131)</f>
        <v>0</v>
      </c>
      <c r="L132" s="24">
        <f>SUMIFS('Aug-24 CREDIT MIS'!T:T,'Aug-24 CREDIT MIS'!S:S,"Reject",'Aug-24 CREDIT MIS'!E:E,'Aug Dashboard.'!B132,'Aug-24 CREDIT MIS'!I:I,'Aug Dashboard.'!A132,'Aug-24 CREDIT MIS'!N:N,'Aug Dashboard.'!$A$131)/100000</f>
        <v>0</v>
      </c>
      <c r="M132" s="24">
        <f>COUNTIFS('Aug-24 CREDIT MIS'!S:S,"Recommend",'Aug-24 CREDIT MIS'!E:E,'Aug Dashboard.'!B132,'Aug-24 CREDIT MIS'!I:I,'Aug Dashboard.'!A132,'Aug-24 CREDIT MIS'!N:N,'Aug Dashboard.'!$A$131)</f>
        <v>0</v>
      </c>
      <c r="N132" s="24">
        <f>SUMIFS('Aug-24 CREDIT MIS'!T:T,'Aug-24 CREDIT MIS'!S:S,"Recommend",'Aug-24 CREDIT MIS'!E:E,'Aug Dashboard.'!B132,'Aug-24 CREDIT MIS'!I:I,'Aug Dashboard.'!A132,'Aug-24 CREDIT MIS'!N:N,'Aug Dashboard.'!$A$131)/100000</f>
        <v>0</v>
      </c>
      <c r="O132" s="24">
        <f>COUNTIFS('Aug-24 CREDIT MIS'!S:S,"Query- Sales",'Aug-24 CREDIT MIS'!E:E,'Aug Dashboard.'!B132,'Aug-24 CREDIT MIS'!I:I,'Aug Dashboard.'!A132,'Aug-24 CREDIT MIS'!N:N,'Aug Dashboard.'!$A$131)</f>
        <v>0</v>
      </c>
      <c r="P132" s="24">
        <f>SUMIFS('Aug-24 CREDIT MIS'!T:T,'Aug-24 CREDIT MIS'!S:S,"Query- Sales",'Aug-24 CREDIT MIS'!E:E,'Aug Dashboard.'!B132,'Aug-24 CREDIT MIS'!I:I,'Aug Dashboard.'!A132,'Aug-24 CREDIT MIS'!N:N,'Aug Dashboard.'!$A$131)/100000</f>
        <v>0</v>
      </c>
      <c r="Q132" s="24">
        <f>COUNTIFS('Aug-24 CREDIT MIS'!S:S,"WIP- Credit",'Aug-24 CREDIT MIS'!E:E,'Aug Dashboard.'!B132,'Aug-24 CREDIT MIS'!I:I,'Aug Dashboard.'!A132,'Aug-24 CREDIT MIS'!N:N,'Aug Dashboard.'!$A$131)</f>
        <v>0</v>
      </c>
      <c r="R132" s="24">
        <f>SUMIFS('Aug-24 CREDIT MIS'!T:T,'Aug-24 CREDIT MIS'!S:S,"WIP- Credit",'Aug-24 CREDIT MIS'!E:E,'Aug Dashboard.'!B132,'Aug-24 CREDIT MIS'!I:I,'Aug Dashboard.'!A132,'Aug-24 CREDIT MIS'!N:N,'Aug Dashboard.'!$A$131)/100000</f>
        <v>0</v>
      </c>
      <c r="S132" s="24">
        <f>COUNTIFS('Aug-24 CREDIT MIS'!S:S,"Visit Pending",'Aug-24 CREDIT MIS'!E:E,'Aug Dashboard.'!B132,'Aug-24 CREDIT MIS'!I:I,'Aug Dashboard.'!A132,'Aug-24 CREDIT MIS'!N:N,'Aug Dashboard.'!$A$131)</f>
        <v>0</v>
      </c>
      <c r="T132" s="24">
        <f>SUMIFS('Aug-24 CREDIT MIS'!T:T,'Aug-24 CREDIT MIS'!S:S,"Visit Pending",'Aug-24 CREDIT MIS'!E:E,'Aug Dashboard.'!B132,'Aug-24 CREDIT MIS'!I:I,'Aug Dashboard.'!A132,'Aug-24 CREDIT MIS'!N:N,'Aug Dashboard.'!$A$131)/100000</f>
        <v>0</v>
      </c>
    </row>
    <row r="133" spans="1:20" x14ac:dyDescent="0.25">
      <c r="A133" s="63" t="s">
        <v>500</v>
      </c>
      <c r="B133" s="25" t="s">
        <v>3</v>
      </c>
      <c r="C133" s="24">
        <f>COUNTIFS('Aug-24 CREDIT MIS'!C:C,"&lt;01-08-2024",'Aug-24 CREDIT MIS'!E:E,'Aug Dashboard.'!B133,'Aug-24 CREDIT MIS'!I:I,'Aug Dashboard.'!A133,'Aug-24 CREDIT MIS'!N:N,"Sunil Bagoria")</f>
        <v>0</v>
      </c>
      <c r="D133" s="24">
        <f>SUMIFS('Aug-24 CREDIT MIS'!T:T,'Aug-24 CREDIT MIS'!C:C,"&lt;01-08-2024",'Aug-24 CREDIT MIS'!E:E,'Aug Dashboard.'!B133,'Aug-24 CREDIT MIS'!I:I,'Aug Dashboard.'!A133,'Aug-24 CREDIT MIS'!N:N,"Sunil Bagoria")/100000</f>
        <v>0</v>
      </c>
      <c r="E133" s="24">
        <f>COUNTIFS('Aug-24 CREDIT MIS'!C:C,"&gt;=01-08-2024",'Aug-24 CREDIT MIS'!E:E,'Aug Dashboard.'!B133,'Aug-24 CREDIT MIS'!I:I,'Aug Dashboard.'!A133,'Aug-24 CREDIT MIS'!N:N,"Sunil Bagoria")</f>
        <v>0</v>
      </c>
      <c r="F133" s="24">
        <f>SUMIFS('Aug-24 CREDIT MIS'!T:T,'Aug-24 CREDIT MIS'!C:C,"&gt;=01-08-2024",'Aug-24 CREDIT MIS'!E:E,'Aug Dashboard.'!B133,'Aug-24 CREDIT MIS'!I:I,'Aug Dashboard.'!A133,'Aug-24 CREDIT MIS'!N:N,"Sunil Bagoria")/100000</f>
        <v>0</v>
      </c>
      <c r="G133" s="24">
        <f t="shared" si="46"/>
        <v>0</v>
      </c>
      <c r="H133" s="24">
        <f t="shared" si="47"/>
        <v>0</v>
      </c>
      <c r="I133" s="24">
        <f>COUNTIFS('Aug-24 CREDIT MIS'!S:S,"Sanction",'Aug-24 CREDIT MIS'!E:E,'Aug Dashboard.'!B133,'Aug-24 CREDIT MIS'!I:I,'Aug Dashboard.'!A133,'Aug-24 CREDIT MIS'!N:N,'Aug Dashboard.'!$A$155)+COUNTIFS('Aug-24 CREDIT MIS'!S:S,"Disbursed",'Aug-24 CREDIT MIS'!E:E,'Aug Dashboard.'!B133,'Aug-24 CREDIT MIS'!I:I,'Aug Dashboard.'!A133,'Aug-24 CREDIT MIS'!N:N,'Aug Dashboard.'!$A$155)</f>
        <v>0</v>
      </c>
      <c r="J133" s="24">
        <f>SUMIFS('Aug-24 CREDIT MIS'!V:V,'Aug-24 CREDIT MIS'!S:S,"Sanction",'Aug-24 CREDIT MIS'!E:E,'Aug Dashboard.'!B133,'Aug-24 CREDIT MIS'!I:I,'Aug Dashboard.'!A133,'Aug-24 CREDIT MIS'!N:N,'Aug Dashboard.'!$A$155)/100000+SUMIFS('Aug-24 CREDIT MIS'!V:V,'Aug-24 CREDIT MIS'!S:S,"Disbursed",'Aug-24 CREDIT MIS'!E:E,'Aug Dashboard.'!B133,'Aug-24 CREDIT MIS'!I:I,'Aug Dashboard.'!A133,'Aug-24 CREDIT MIS'!N:N,'Aug Dashboard.'!$A$155)/100000</f>
        <v>0</v>
      </c>
      <c r="K133" s="24">
        <f>COUNTIFS('Aug-24 CREDIT MIS'!S:S,"Reject",'Aug-24 CREDIT MIS'!E:E,'Aug Dashboard.'!B133,'Aug-24 CREDIT MIS'!I:I,'Aug Dashboard.'!A133,'Aug-24 CREDIT MIS'!N:N,'Aug Dashboard.'!$A$155)</f>
        <v>0</v>
      </c>
      <c r="L133" s="24">
        <f>SUMIFS('Aug-24 CREDIT MIS'!T:T,'Aug-24 CREDIT MIS'!S:S,"Reject",'Aug-24 CREDIT MIS'!E:E,'Aug Dashboard.'!B133,'Aug-24 CREDIT MIS'!I:I,'Aug Dashboard.'!A133,'Aug-24 CREDIT MIS'!N:N,'Aug Dashboard.'!$A$155)/100000</f>
        <v>0</v>
      </c>
      <c r="M133" s="24">
        <f>COUNTIFS('Aug-24 CREDIT MIS'!S:S,"Recommend",'Aug-24 CREDIT MIS'!E:E,'Aug Dashboard.'!B133,'Aug-24 CREDIT MIS'!I:I,'Aug Dashboard.'!A133,'Aug-24 CREDIT MIS'!N:N,'Aug Dashboard.'!$A$155)</f>
        <v>0</v>
      </c>
      <c r="N133" s="24">
        <f>SUMIFS('Aug-24 CREDIT MIS'!T:T,'Aug-24 CREDIT MIS'!S:S,"Recommend",'Aug-24 CREDIT MIS'!E:E,'Aug Dashboard.'!B133,'Aug-24 CREDIT MIS'!I:I,'Aug Dashboard.'!A133,'Aug-24 CREDIT MIS'!N:N,'Aug Dashboard.'!$A$155)/100000</f>
        <v>0</v>
      </c>
      <c r="O133" s="24">
        <f>COUNTIFS('Aug-24 CREDIT MIS'!S:S,"Query- Sales",'Aug-24 CREDIT MIS'!E:E,'Aug Dashboard.'!B133,'Aug-24 CREDIT MIS'!I:I,'Aug Dashboard.'!A133,'Aug-24 CREDIT MIS'!N:N,'Aug Dashboard.'!$A$155)</f>
        <v>0</v>
      </c>
      <c r="P133" s="24">
        <f>SUMIFS('Aug-24 CREDIT MIS'!T:T,'Aug-24 CREDIT MIS'!S:S,"Query- Sales",'Aug-24 CREDIT MIS'!E:E,'Aug Dashboard.'!B133,'Aug-24 CREDIT MIS'!I:I,'Aug Dashboard.'!A133,'Aug-24 CREDIT MIS'!N:N,'Aug Dashboard.'!$A$155)/100000</f>
        <v>0</v>
      </c>
      <c r="Q133" s="24">
        <f>COUNTIFS('Aug-24 CREDIT MIS'!S:S,"WIP- Credit",'Aug-24 CREDIT MIS'!E:E,'Aug Dashboard.'!B133,'Aug-24 CREDIT MIS'!I:I,'Aug Dashboard.'!A133,'Aug-24 CREDIT MIS'!N:N,'Aug Dashboard.'!$A$155)</f>
        <v>0</v>
      </c>
      <c r="R133" s="24">
        <f>SUMIFS('Aug-24 CREDIT MIS'!T:T,'Aug-24 CREDIT MIS'!S:S,"WIP- Credit",'Aug-24 CREDIT MIS'!E:E,'Aug Dashboard.'!B133,'Aug-24 CREDIT MIS'!I:I,'Aug Dashboard.'!A133,'Aug-24 CREDIT MIS'!N:N,'Aug Dashboard.'!$A$155)/100000</f>
        <v>0</v>
      </c>
      <c r="S133" s="24">
        <f>COUNTIFS('Aug-24 CREDIT MIS'!S:S,"Visit Pending",'Aug-24 CREDIT MIS'!E:E,'Aug Dashboard.'!B133,'Aug-24 CREDIT MIS'!I:I,'Aug Dashboard.'!A133,'Aug-24 CREDIT MIS'!N:N,'Aug Dashboard.'!$A$155)</f>
        <v>0</v>
      </c>
      <c r="T133" s="24">
        <f>SUMIFS('Aug-24 CREDIT MIS'!T:T,'Aug-24 CREDIT MIS'!S:S,"Visit Pending",'Aug-24 CREDIT MIS'!E:E,'Aug Dashboard.'!B133,'Aug-24 CREDIT MIS'!I:I,'Aug Dashboard.'!A133,'Aug-24 CREDIT MIS'!N:N,'Aug Dashboard.'!$A$155)/100000</f>
        <v>0</v>
      </c>
    </row>
    <row r="134" spans="1:20" x14ac:dyDescent="0.25">
      <c r="A134" s="30" t="s">
        <v>193</v>
      </c>
      <c r="B134" s="25" t="s">
        <v>82</v>
      </c>
      <c r="C134" s="24">
        <f>COUNTIFS('Aug-24 CREDIT MIS'!C:C,"&lt;01-08-2024",'Aug-24 CREDIT MIS'!E:E,'Aug Dashboard.'!B134,'Aug-24 CREDIT MIS'!I:I,'Aug Dashboard.'!A134,'Aug-24 CREDIT MIS'!N:N,"Sunil Bagoria")</f>
        <v>0</v>
      </c>
      <c r="D134" s="24">
        <f>SUMIFS('Aug-24 CREDIT MIS'!T:T,'Aug-24 CREDIT MIS'!C:C,"&lt;01-08-2024",'Aug-24 CREDIT MIS'!E:E,'Aug Dashboard.'!B134,'Aug-24 CREDIT MIS'!I:I,'Aug Dashboard.'!A134,'Aug-24 CREDIT MIS'!N:N,"Sunil Bagoria")/100000</f>
        <v>0</v>
      </c>
      <c r="E134" s="24">
        <f>COUNTIFS('Aug-24 CREDIT MIS'!C:C,"&gt;=01-08-2024",'Aug-24 CREDIT MIS'!E:E,'Aug Dashboard.'!B134,'Aug-24 CREDIT MIS'!I:I,'Aug Dashboard.'!A134,'Aug-24 CREDIT MIS'!N:N,"Sunil Bagoria")</f>
        <v>1</v>
      </c>
      <c r="F134" s="24">
        <f>SUMIFS('Aug-24 CREDIT MIS'!T:T,'Aug-24 CREDIT MIS'!C:C,"&gt;=01-08-2024",'Aug-24 CREDIT MIS'!E:E,'Aug Dashboard.'!B134,'Aug-24 CREDIT MIS'!I:I,'Aug Dashboard.'!A134,'Aug-24 CREDIT MIS'!N:N,"Sunil Bagoria")/100000</f>
        <v>3</v>
      </c>
      <c r="G134" s="24">
        <f t="shared" ref="G134:G154" si="48">E134+C134</f>
        <v>1</v>
      </c>
      <c r="H134" s="24">
        <f t="shared" ref="H134:H154" si="49">F134+D134</f>
        <v>3</v>
      </c>
      <c r="I134" s="24">
        <f>COUNTIFS('Aug-24 CREDIT MIS'!S:S,"Sanction",'Aug-24 CREDIT MIS'!E:E,'Aug Dashboard.'!B134,'Aug-24 CREDIT MIS'!I:I,'Aug Dashboard.'!A134,'Aug-24 CREDIT MIS'!N:N,'Aug Dashboard.'!$A$155)+COUNTIFS('Aug-24 CREDIT MIS'!S:S,"Disbursed",'Aug-24 CREDIT MIS'!E:E,'Aug Dashboard.'!B134,'Aug-24 CREDIT MIS'!I:I,'Aug Dashboard.'!A134,'Aug-24 CREDIT MIS'!N:N,'Aug Dashboard.'!$A$155)</f>
        <v>0</v>
      </c>
      <c r="J134" s="24">
        <f>SUMIFS('Aug-24 CREDIT MIS'!V:V,'Aug-24 CREDIT MIS'!S:S,"Sanction",'Aug-24 CREDIT MIS'!E:E,'Aug Dashboard.'!B134,'Aug-24 CREDIT MIS'!I:I,'Aug Dashboard.'!A134,'Aug-24 CREDIT MIS'!N:N,'Aug Dashboard.'!$A$155)/100000+SUMIFS('Aug-24 CREDIT MIS'!V:V,'Aug-24 CREDIT MIS'!S:S,"Disbursed",'Aug-24 CREDIT MIS'!E:E,'Aug Dashboard.'!B134,'Aug-24 CREDIT MIS'!I:I,'Aug Dashboard.'!A134,'Aug-24 CREDIT MIS'!N:N,'Aug Dashboard.'!$A$155)/100000</f>
        <v>0</v>
      </c>
      <c r="K134" s="24">
        <f>COUNTIFS('Aug-24 CREDIT MIS'!S:S,"Reject",'Aug-24 CREDIT MIS'!E:E,'Aug Dashboard.'!B134,'Aug-24 CREDIT MIS'!I:I,'Aug Dashboard.'!A134,'Aug-24 CREDIT MIS'!N:N,'Aug Dashboard.'!$A$155)</f>
        <v>0</v>
      </c>
      <c r="L134" s="24">
        <f>SUMIFS('Aug-24 CREDIT MIS'!T:T,'Aug-24 CREDIT MIS'!S:S,"Reject",'Aug-24 CREDIT MIS'!E:E,'Aug Dashboard.'!B134,'Aug-24 CREDIT MIS'!I:I,'Aug Dashboard.'!A134,'Aug-24 CREDIT MIS'!N:N,'Aug Dashboard.'!$A$155)/100000</f>
        <v>0</v>
      </c>
      <c r="M134" s="24">
        <f>COUNTIFS('Aug-24 CREDIT MIS'!S:S,"Recommend",'Aug-24 CREDIT MIS'!E:E,'Aug Dashboard.'!B134,'Aug-24 CREDIT MIS'!I:I,'Aug Dashboard.'!A134,'Aug-24 CREDIT MIS'!N:N,'Aug Dashboard.'!$A$155)</f>
        <v>0</v>
      </c>
      <c r="N134" s="24">
        <f>SUMIFS('Aug-24 CREDIT MIS'!T:T,'Aug-24 CREDIT MIS'!S:S,"Recommend",'Aug-24 CREDIT MIS'!E:E,'Aug Dashboard.'!B134,'Aug-24 CREDIT MIS'!I:I,'Aug Dashboard.'!A134,'Aug-24 CREDIT MIS'!N:N,'Aug Dashboard.'!$A$155)/100000</f>
        <v>0</v>
      </c>
      <c r="O134" s="24">
        <f>COUNTIFS('Aug-24 CREDIT MIS'!S:S,"Query- Sales",'Aug-24 CREDIT MIS'!E:E,'Aug Dashboard.'!B134,'Aug-24 CREDIT MIS'!I:I,'Aug Dashboard.'!A134,'Aug-24 CREDIT MIS'!N:N,'Aug Dashboard.'!$A$155)</f>
        <v>0</v>
      </c>
      <c r="P134" s="24">
        <f>SUMIFS('Aug-24 CREDIT MIS'!T:T,'Aug-24 CREDIT MIS'!S:S,"Query- Sales",'Aug-24 CREDIT MIS'!E:E,'Aug Dashboard.'!B134,'Aug-24 CREDIT MIS'!I:I,'Aug Dashboard.'!A134,'Aug-24 CREDIT MIS'!N:N,'Aug Dashboard.'!$A$155)/100000</f>
        <v>0</v>
      </c>
      <c r="Q134" s="24">
        <f>COUNTIFS('Aug-24 CREDIT MIS'!S:S,"WIP- Credit",'Aug-24 CREDIT MIS'!E:E,'Aug Dashboard.'!B134,'Aug-24 CREDIT MIS'!I:I,'Aug Dashboard.'!A134,'Aug-24 CREDIT MIS'!N:N,'Aug Dashboard.'!$A$155)</f>
        <v>1</v>
      </c>
      <c r="R134" s="24">
        <f>SUMIFS('Aug-24 CREDIT MIS'!T:T,'Aug-24 CREDIT MIS'!S:S,"WIP- Credit",'Aug-24 CREDIT MIS'!E:E,'Aug Dashboard.'!B134,'Aug-24 CREDIT MIS'!I:I,'Aug Dashboard.'!A134,'Aug-24 CREDIT MIS'!N:N,'Aug Dashboard.'!$A$155)/100000</f>
        <v>3</v>
      </c>
      <c r="S134" s="24">
        <f>COUNTIFS('Aug-24 CREDIT MIS'!S:S,"Visit Pending",'Aug-24 CREDIT MIS'!E:E,'Aug Dashboard.'!B134,'Aug-24 CREDIT MIS'!I:I,'Aug Dashboard.'!A134,'Aug-24 CREDIT MIS'!N:N,'Aug Dashboard.'!$A$155)</f>
        <v>0</v>
      </c>
      <c r="T134" s="24">
        <f>SUMIFS('Aug-24 CREDIT MIS'!T:T,'Aug-24 CREDIT MIS'!S:S,"Visit Pending",'Aug-24 CREDIT MIS'!E:E,'Aug Dashboard.'!B134,'Aug-24 CREDIT MIS'!I:I,'Aug Dashboard.'!A134,'Aug-24 CREDIT MIS'!N:N,'Aug Dashboard.'!$A$155)/100000</f>
        <v>0</v>
      </c>
    </row>
    <row r="135" spans="1:20" x14ac:dyDescent="0.25">
      <c r="A135" s="63" t="s">
        <v>653</v>
      </c>
      <c r="B135" s="25" t="s">
        <v>72</v>
      </c>
      <c r="C135" s="24">
        <f>COUNTIFS('Aug-24 CREDIT MIS'!C:C,"&lt;01-08-2024",'Aug-24 CREDIT MIS'!E:E,'Aug Dashboard.'!B135,'Aug-24 CREDIT MIS'!I:I,'Aug Dashboard.'!A135,'Aug-24 CREDIT MIS'!N:N,"Sunil Bagoria")</f>
        <v>0</v>
      </c>
      <c r="D135" s="24">
        <f>SUMIFS('Aug-24 CREDIT MIS'!T:T,'Aug-24 CREDIT MIS'!C:C,"&lt;01-08-2024",'Aug-24 CREDIT MIS'!E:E,'Aug Dashboard.'!B135,'Aug-24 CREDIT MIS'!I:I,'Aug Dashboard.'!A135,'Aug-24 CREDIT MIS'!N:N,"Sunil Bagoria")/100000</f>
        <v>0</v>
      </c>
      <c r="E135" s="24">
        <f>COUNTIFS('Aug-24 CREDIT MIS'!C:C,"&gt;=01-08-2024",'Aug-24 CREDIT MIS'!E:E,'Aug Dashboard.'!B135,'Aug-24 CREDIT MIS'!I:I,'Aug Dashboard.'!A135,'Aug-24 CREDIT MIS'!N:N,"Sunil Bagoria")</f>
        <v>0</v>
      </c>
      <c r="F135" s="24">
        <f>SUMIFS('Aug-24 CREDIT MIS'!T:T,'Aug-24 CREDIT MIS'!C:C,"&gt;=01-08-2024",'Aug-24 CREDIT MIS'!E:E,'Aug Dashboard.'!B135,'Aug-24 CREDIT MIS'!I:I,'Aug Dashboard.'!A135,'Aug-24 CREDIT MIS'!N:N,"Sunil Bagoria")/100000</f>
        <v>0</v>
      </c>
      <c r="G135" s="24">
        <f t="shared" si="48"/>
        <v>0</v>
      </c>
      <c r="H135" s="24">
        <f t="shared" si="49"/>
        <v>0</v>
      </c>
      <c r="I135" s="24">
        <f>COUNTIFS('Aug-24 CREDIT MIS'!S:S,"Sanction",'Aug-24 CREDIT MIS'!E:E,'Aug Dashboard.'!B135,'Aug-24 CREDIT MIS'!I:I,'Aug Dashboard.'!A135,'Aug-24 CREDIT MIS'!N:N,'Aug Dashboard.'!$A$155)+COUNTIFS('Aug-24 CREDIT MIS'!S:S,"Disbursed",'Aug-24 CREDIT MIS'!E:E,'Aug Dashboard.'!B135,'Aug-24 CREDIT MIS'!I:I,'Aug Dashboard.'!A135,'Aug-24 CREDIT MIS'!N:N,'Aug Dashboard.'!$A$155)</f>
        <v>0</v>
      </c>
      <c r="J135" s="24">
        <f>SUMIFS('Aug-24 CREDIT MIS'!V:V,'Aug-24 CREDIT MIS'!S:S,"Sanction",'Aug-24 CREDIT MIS'!E:E,'Aug Dashboard.'!B135,'Aug-24 CREDIT MIS'!I:I,'Aug Dashboard.'!A135,'Aug-24 CREDIT MIS'!N:N,'Aug Dashboard.'!$A$155)/100000+SUMIFS('Aug-24 CREDIT MIS'!V:V,'Aug-24 CREDIT MIS'!S:S,"Disbursed",'Aug-24 CREDIT MIS'!E:E,'Aug Dashboard.'!B135,'Aug-24 CREDIT MIS'!I:I,'Aug Dashboard.'!A135,'Aug-24 CREDIT MIS'!N:N,'Aug Dashboard.'!$A$155)/100000</f>
        <v>0</v>
      </c>
      <c r="K135" s="24">
        <f>COUNTIFS('Aug-24 CREDIT MIS'!S:S,"Reject",'Aug-24 CREDIT MIS'!E:E,'Aug Dashboard.'!B135,'Aug-24 CREDIT MIS'!I:I,'Aug Dashboard.'!A135,'Aug-24 CREDIT MIS'!N:N,'Aug Dashboard.'!$A$155)</f>
        <v>0</v>
      </c>
      <c r="L135" s="24">
        <f>SUMIFS('Aug-24 CREDIT MIS'!T:T,'Aug-24 CREDIT MIS'!S:S,"Reject",'Aug-24 CREDIT MIS'!E:E,'Aug Dashboard.'!B135,'Aug-24 CREDIT MIS'!I:I,'Aug Dashboard.'!A135,'Aug-24 CREDIT MIS'!N:N,'Aug Dashboard.'!$A$155)/100000</f>
        <v>0</v>
      </c>
      <c r="M135" s="24">
        <f>COUNTIFS('Aug-24 CREDIT MIS'!S:S,"Recommend",'Aug-24 CREDIT MIS'!E:E,'Aug Dashboard.'!B135,'Aug-24 CREDIT MIS'!I:I,'Aug Dashboard.'!A135,'Aug-24 CREDIT MIS'!N:N,'Aug Dashboard.'!$A$155)</f>
        <v>0</v>
      </c>
      <c r="N135" s="24">
        <f>SUMIFS('Aug-24 CREDIT MIS'!T:T,'Aug-24 CREDIT MIS'!S:S,"Recommend",'Aug-24 CREDIT MIS'!E:E,'Aug Dashboard.'!B135,'Aug-24 CREDIT MIS'!I:I,'Aug Dashboard.'!A135,'Aug-24 CREDIT MIS'!N:N,'Aug Dashboard.'!$A$155)/100000</f>
        <v>0</v>
      </c>
      <c r="O135" s="24">
        <f>COUNTIFS('Aug-24 CREDIT MIS'!S:S,"Query- Sales",'Aug-24 CREDIT MIS'!E:E,'Aug Dashboard.'!B135,'Aug-24 CREDIT MIS'!I:I,'Aug Dashboard.'!A135,'Aug-24 CREDIT MIS'!N:N,'Aug Dashboard.'!$A$155)</f>
        <v>0</v>
      </c>
      <c r="P135" s="24">
        <f>SUMIFS('Aug-24 CREDIT MIS'!T:T,'Aug-24 CREDIT MIS'!S:S,"Query- Sales",'Aug-24 CREDIT MIS'!E:E,'Aug Dashboard.'!B135,'Aug-24 CREDIT MIS'!I:I,'Aug Dashboard.'!A135,'Aug-24 CREDIT MIS'!N:N,'Aug Dashboard.'!$A$155)/100000</f>
        <v>0</v>
      </c>
      <c r="Q135" s="24">
        <f>COUNTIFS('Aug-24 CREDIT MIS'!S:S,"WIP- Credit",'Aug-24 CREDIT MIS'!E:E,'Aug Dashboard.'!B135,'Aug-24 CREDIT MIS'!I:I,'Aug Dashboard.'!A135,'Aug-24 CREDIT MIS'!N:N,'Aug Dashboard.'!$A$155)</f>
        <v>0</v>
      </c>
      <c r="R135" s="24">
        <f>SUMIFS('Aug-24 CREDIT MIS'!T:T,'Aug-24 CREDIT MIS'!S:S,"WIP- Credit",'Aug-24 CREDIT MIS'!E:E,'Aug Dashboard.'!B135,'Aug-24 CREDIT MIS'!I:I,'Aug Dashboard.'!A135,'Aug-24 CREDIT MIS'!N:N,'Aug Dashboard.'!$A$155)/100000</f>
        <v>0</v>
      </c>
      <c r="S135" s="24">
        <f>COUNTIFS('Aug-24 CREDIT MIS'!S:S,"Visit Pending",'Aug-24 CREDIT MIS'!E:E,'Aug Dashboard.'!B135,'Aug-24 CREDIT MIS'!I:I,'Aug Dashboard.'!A135,'Aug-24 CREDIT MIS'!N:N,'Aug Dashboard.'!$A$155)</f>
        <v>0</v>
      </c>
      <c r="T135" s="24">
        <f>SUMIFS('Aug-24 CREDIT MIS'!T:T,'Aug-24 CREDIT MIS'!S:S,"Visit Pending",'Aug-24 CREDIT MIS'!E:E,'Aug Dashboard.'!B135,'Aug-24 CREDIT MIS'!I:I,'Aug Dashboard.'!A135,'Aug-24 CREDIT MIS'!N:N,'Aug Dashboard.'!$A$155)/100000</f>
        <v>0</v>
      </c>
    </row>
    <row r="136" spans="1:20" x14ac:dyDescent="0.25">
      <c r="A136" s="133" t="s">
        <v>469</v>
      </c>
      <c r="B136" s="25" t="s">
        <v>192</v>
      </c>
      <c r="C136" s="24">
        <f>COUNTIFS('Aug-24 CREDIT MIS'!C:C,"&lt;01-08-2024",'Aug-24 CREDIT MIS'!E:E,'Aug Dashboard.'!B136,'Aug-24 CREDIT MIS'!I:I,'Aug Dashboard.'!A136,'Aug-24 CREDIT MIS'!N:N,"Sunil Bagoria")</f>
        <v>0</v>
      </c>
      <c r="D136" s="24">
        <f>SUMIFS('Aug-24 CREDIT MIS'!T:T,'Aug-24 CREDIT MIS'!C:C,"&lt;01-08-2024",'Aug-24 CREDIT MIS'!E:E,'Aug Dashboard.'!B136,'Aug-24 CREDIT MIS'!I:I,'Aug Dashboard.'!A136,'Aug-24 CREDIT MIS'!N:N,"Sunil Bagoria")/100000</f>
        <v>0</v>
      </c>
      <c r="E136" s="24">
        <f>COUNTIFS('Aug-24 CREDIT MIS'!C:C,"&gt;=01-08-2024",'Aug-24 CREDIT MIS'!E:E,'Aug Dashboard.'!B136,'Aug-24 CREDIT MIS'!I:I,'Aug Dashboard.'!A136,'Aug-24 CREDIT MIS'!N:N,"Sunil Bagoria")</f>
        <v>0</v>
      </c>
      <c r="F136" s="24">
        <f>SUMIFS('Aug-24 CREDIT MIS'!T:T,'Aug-24 CREDIT MIS'!C:C,"&gt;=01-08-2024",'Aug-24 CREDIT MIS'!E:E,'Aug Dashboard.'!B136,'Aug-24 CREDIT MIS'!I:I,'Aug Dashboard.'!A136,'Aug-24 CREDIT MIS'!N:N,"Sunil Bagoria")/100000</f>
        <v>0</v>
      </c>
      <c r="G136" s="24">
        <f t="shared" si="48"/>
        <v>0</v>
      </c>
      <c r="H136" s="24">
        <f t="shared" si="49"/>
        <v>0</v>
      </c>
      <c r="I136" s="24">
        <f>COUNTIFS('Aug-24 CREDIT MIS'!S:S,"Sanction",'Aug-24 CREDIT MIS'!E:E,'Aug Dashboard.'!B136,'Aug-24 CREDIT MIS'!I:I,'Aug Dashboard.'!A136,'Aug-24 CREDIT MIS'!N:N,'Aug Dashboard.'!$A$155)+COUNTIFS('Aug-24 CREDIT MIS'!S:S,"Disbursed",'Aug-24 CREDIT MIS'!E:E,'Aug Dashboard.'!B136,'Aug-24 CREDIT MIS'!I:I,'Aug Dashboard.'!A136,'Aug-24 CREDIT MIS'!N:N,'Aug Dashboard.'!$A$155)</f>
        <v>0</v>
      </c>
      <c r="J136" s="24">
        <f>SUMIFS('Aug-24 CREDIT MIS'!V:V,'Aug-24 CREDIT MIS'!S:S,"Sanction",'Aug-24 CREDIT MIS'!E:E,'Aug Dashboard.'!B136,'Aug-24 CREDIT MIS'!I:I,'Aug Dashboard.'!A136,'Aug-24 CREDIT MIS'!N:N,'Aug Dashboard.'!$A$155)/100000+SUMIFS('Aug-24 CREDIT MIS'!V:V,'Aug-24 CREDIT MIS'!S:S,"Disbursed",'Aug-24 CREDIT MIS'!E:E,'Aug Dashboard.'!B136,'Aug-24 CREDIT MIS'!I:I,'Aug Dashboard.'!A136,'Aug-24 CREDIT MIS'!N:N,'Aug Dashboard.'!$A$155)/100000</f>
        <v>0</v>
      </c>
      <c r="K136" s="24">
        <f>COUNTIFS('Aug-24 CREDIT MIS'!S:S,"Reject",'Aug-24 CREDIT MIS'!E:E,'Aug Dashboard.'!B136,'Aug-24 CREDIT MIS'!I:I,'Aug Dashboard.'!A136,'Aug-24 CREDIT MIS'!N:N,'Aug Dashboard.'!$A$155)</f>
        <v>0</v>
      </c>
      <c r="L136" s="24">
        <f>SUMIFS('Aug-24 CREDIT MIS'!T:T,'Aug-24 CREDIT MIS'!S:S,"Reject",'Aug-24 CREDIT MIS'!E:E,'Aug Dashboard.'!B136,'Aug-24 CREDIT MIS'!I:I,'Aug Dashboard.'!A136,'Aug-24 CREDIT MIS'!N:N,'Aug Dashboard.'!$A$155)/100000</f>
        <v>0</v>
      </c>
      <c r="M136" s="24">
        <f>COUNTIFS('Aug-24 CREDIT MIS'!S:S,"Recommend",'Aug-24 CREDIT MIS'!E:E,'Aug Dashboard.'!B136,'Aug-24 CREDIT MIS'!I:I,'Aug Dashboard.'!A136,'Aug-24 CREDIT MIS'!N:N,'Aug Dashboard.'!$A$155)</f>
        <v>0</v>
      </c>
      <c r="N136" s="24">
        <f>SUMIFS('Aug-24 CREDIT MIS'!T:T,'Aug-24 CREDIT MIS'!S:S,"Recommend",'Aug-24 CREDIT MIS'!E:E,'Aug Dashboard.'!B136,'Aug-24 CREDIT MIS'!I:I,'Aug Dashboard.'!A136,'Aug-24 CREDIT MIS'!N:N,'Aug Dashboard.'!$A$155)/100000</f>
        <v>0</v>
      </c>
      <c r="O136" s="24">
        <f>COUNTIFS('Aug-24 CREDIT MIS'!S:S,"Query- Sales",'Aug-24 CREDIT MIS'!E:E,'Aug Dashboard.'!B136,'Aug-24 CREDIT MIS'!I:I,'Aug Dashboard.'!A136,'Aug-24 CREDIT MIS'!N:N,'Aug Dashboard.'!$A$155)</f>
        <v>0</v>
      </c>
      <c r="P136" s="24">
        <f>SUMIFS('Aug-24 CREDIT MIS'!T:T,'Aug-24 CREDIT MIS'!S:S,"Query- Sales",'Aug-24 CREDIT MIS'!E:E,'Aug Dashboard.'!B136,'Aug-24 CREDIT MIS'!I:I,'Aug Dashboard.'!A136,'Aug-24 CREDIT MIS'!N:N,'Aug Dashboard.'!$A$155)/100000</f>
        <v>0</v>
      </c>
      <c r="Q136" s="24">
        <f>COUNTIFS('Aug-24 CREDIT MIS'!S:S,"WIP- Credit",'Aug-24 CREDIT MIS'!E:E,'Aug Dashboard.'!B136,'Aug-24 CREDIT MIS'!I:I,'Aug Dashboard.'!A136,'Aug-24 CREDIT MIS'!N:N,'Aug Dashboard.'!$A$155)</f>
        <v>0</v>
      </c>
      <c r="R136" s="24">
        <f>SUMIFS('Aug-24 CREDIT MIS'!T:T,'Aug-24 CREDIT MIS'!S:S,"WIP- Credit",'Aug-24 CREDIT MIS'!E:E,'Aug Dashboard.'!B136,'Aug-24 CREDIT MIS'!I:I,'Aug Dashboard.'!A136,'Aug-24 CREDIT MIS'!N:N,'Aug Dashboard.'!$A$155)/100000</f>
        <v>0</v>
      </c>
      <c r="S136" s="24">
        <f>COUNTIFS('Aug-24 CREDIT MIS'!S:S,"Visit Pending",'Aug-24 CREDIT MIS'!E:E,'Aug Dashboard.'!B136,'Aug-24 CREDIT MIS'!I:I,'Aug Dashboard.'!A136,'Aug-24 CREDIT MIS'!N:N,'Aug Dashboard.'!$A$155)</f>
        <v>0</v>
      </c>
      <c r="T136" s="24">
        <f>SUMIFS('Aug-24 CREDIT MIS'!T:T,'Aug-24 CREDIT MIS'!S:S,"Visit Pending",'Aug-24 CREDIT MIS'!E:E,'Aug Dashboard.'!B136,'Aug-24 CREDIT MIS'!I:I,'Aug Dashboard.'!A136,'Aug-24 CREDIT MIS'!N:N,'Aug Dashboard.'!$A$155)/100000</f>
        <v>0</v>
      </c>
    </row>
    <row r="137" spans="1:20" x14ac:dyDescent="0.25">
      <c r="A137" s="63" t="s">
        <v>472</v>
      </c>
      <c r="B137" s="25" t="s">
        <v>191</v>
      </c>
      <c r="C137" s="24">
        <f>COUNTIFS('Aug-24 CREDIT MIS'!C:C,"&lt;01-08-2024",'Aug-24 CREDIT MIS'!E:E,'Aug Dashboard.'!B137,'Aug-24 CREDIT MIS'!I:I,'Aug Dashboard.'!A137,'Aug-24 CREDIT MIS'!N:N,"Sunil Bagoria")</f>
        <v>0</v>
      </c>
      <c r="D137" s="24">
        <f>SUMIFS('Aug-24 CREDIT MIS'!T:T,'Aug-24 CREDIT MIS'!C:C,"&lt;01-08-2024",'Aug-24 CREDIT MIS'!E:E,'Aug Dashboard.'!B137,'Aug-24 CREDIT MIS'!I:I,'Aug Dashboard.'!A137,'Aug-24 CREDIT MIS'!N:N,"Sunil Bagoria")/100000</f>
        <v>0</v>
      </c>
      <c r="E137" s="24">
        <f>COUNTIFS('Aug-24 CREDIT MIS'!C:C,"&gt;=01-08-2024",'Aug-24 CREDIT MIS'!E:E,'Aug Dashboard.'!B137,'Aug-24 CREDIT MIS'!I:I,'Aug Dashboard.'!A137,'Aug-24 CREDIT MIS'!N:N,"Sunil Bagoria")</f>
        <v>0</v>
      </c>
      <c r="F137" s="24">
        <f>SUMIFS('Aug-24 CREDIT MIS'!T:T,'Aug-24 CREDIT MIS'!C:C,"&gt;=01-08-2024",'Aug-24 CREDIT MIS'!E:E,'Aug Dashboard.'!B137,'Aug-24 CREDIT MIS'!I:I,'Aug Dashboard.'!A137,'Aug-24 CREDIT MIS'!N:N,"Sunil Bagoria")/100000</f>
        <v>0</v>
      </c>
      <c r="G137" s="24">
        <f t="shared" si="48"/>
        <v>0</v>
      </c>
      <c r="H137" s="24">
        <f t="shared" si="49"/>
        <v>0</v>
      </c>
      <c r="I137" s="24">
        <f>COUNTIFS('Aug-24 CREDIT MIS'!S:S,"Sanction",'Aug-24 CREDIT MIS'!E:E,'Aug Dashboard.'!B137,'Aug-24 CREDIT MIS'!I:I,'Aug Dashboard.'!A137,'Aug-24 CREDIT MIS'!N:N,'Aug Dashboard.'!$A$155)+COUNTIFS('Aug-24 CREDIT MIS'!S:S,"Disbursed",'Aug-24 CREDIT MIS'!E:E,'Aug Dashboard.'!B137,'Aug-24 CREDIT MIS'!I:I,'Aug Dashboard.'!A137,'Aug-24 CREDIT MIS'!N:N,'Aug Dashboard.'!$A$155)</f>
        <v>0</v>
      </c>
      <c r="J137" s="24">
        <f>SUMIFS('Aug-24 CREDIT MIS'!V:V,'Aug-24 CREDIT MIS'!S:S,"Sanction",'Aug-24 CREDIT MIS'!E:E,'Aug Dashboard.'!B137,'Aug-24 CREDIT MIS'!I:I,'Aug Dashboard.'!A137,'Aug-24 CREDIT MIS'!N:N,'Aug Dashboard.'!$A$155)/100000+SUMIFS('Aug-24 CREDIT MIS'!V:V,'Aug-24 CREDIT MIS'!S:S,"Disbursed",'Aug-24 CREDIT MIS'!E:E,'Aug Dashboard.'!B137,'Aug-24 CREDIT MIS'!I:I,'Aug Dashboard.'!A137,'Aug-24 CREDIT MIS'!N:N,'Aug Dashboard.'!$A$155)/100000</f>
        <v>0</v>
      </c>
      <c r="K137" s="24">
        <f>COUNTIFS('Aug-24 CREDIT MIS'!S:S,"Reject",'Aug-24 CREDIT MIS'!E:E,'Aug Dashboard.'!B137,'Aug-24 CREDIT MIS'!I:I,'Aug Dashboard.'!A137,'Aug-24 CREDIT MIS'!N:N,'Aug Dashboard.'!$A$155)</f>
        <v>0</v>
      </c>
      <c r="L137" s="24">
        <f>SUMIFS('Aug-24 CREDIT MIS'!T:T,'Aug-24 CREDIT MIS'!S:S,"Reject",'Aug-24 CREDIT MIS'!E:E,'Aug Dashboard.'!B137,'Aug-24 CREDIT MIS'!I:I,'Aug Dashboard.'!A137,'Aug-24 CREDIT MIS'!N:N,'Aug Dashboard.'!$A$155)/100000</f>
        <v>0</v>
      </c>
      <c r="M137" s="24">
        <f>COUNTIFS('Aug-24 CREDIT MIS'!S:S,"Recommend",'Aug-24 CREDIT MIS'!E:E,'Aug Dashboard.'!B137,'Aug-24 CREDIT MIS'!I:I,'Aug Dashboard.'!A137,'Aug-24 CREDIT MIS'!N:N,'Aug Dashboard.'!$A$155)</f>
        <v>0</v>
      </c>
      <c r="N137" s="24">
        <f>SUMIFS('Aug-24 CREDIT MIS'!T:T,'Aug-24 CREDIT MIS'!S:S,"Recommend",'Aug-24 CREDIT MIS'!E:E,'Aug Dashboard.'!B137,'Aug-24 CREDIT MIS'!I:I,'Aug Dashboard.'!A137,'Aug-24 CREDIT MIS'!N:N,'Aug Dashboard.'!$A$155)/100000</f>
        <v>0</v>
      </c>
      <c r="O137" s="24">
        <f>COUNTIFS('Aug-24 CREDIT MIS'!S:S,"Query- Sales",'Aug-24 CREDIT MIS'!E:E,'Aug Dashboard.'!B137,'Aug-24 CREDIT MIS'!I:I,'Aug Dashboard.'!A137,'Aug-24 CREDIT MIS'!N:N,'Aug Dashboard.'!$A$155)</f>
        <v>0</v>
      </c>
      <c r="P137" s="24">
        <f>SUMIFS('Aug-24 CREDIT MIS'!T:T,'Aug-24 CREDIT MIS'!S:S,"Query- Sales",'Aug-24 CREDIT MIS'!E:E,'Aug Dashboard.'!B137,'Aug-24 CREDIT MIS'!I:I,'Aug Dashboard.'!A137,'Aug-24 CREDIT MIS'!N:N,'Aug Dashboard.'!$A$155)/100000</f>
        <v>0</v>
      </c>
      <c r="Q137" s="24">
        <f>COUNTIFS('Aug-24 CREDIT MIS'!S:S,"WIP- Credit",'Aug-24 CREDIT MIS'!E:E,'Aug Dashboard.'!B137,'Aug-24 CREDIT MIS'!I:I,'Aug Dashboard.'!A137,'Aug-24 CREDIT MIS'!N:N,'Aug Dashboard.'!$A$155)</f>
        <v>0</v>
      </c>
      <c r="R137" s="24">
        <f>SUMIFS('Aug-24 CREDIT MIS'!T:T,'Aug-24 CREDIT MIS'!S:S,"WIP- Credit",'Aug-24 CREDIT MIS'!E:E,'Aug Dashboard.'!B137,'Aug-24 CREDIT MIS'!I:I,'Aug Dashboard.'!A137,'Aug-24 CREDIT MIS'!N:N,'Aug Dashboard.'!$A$155)/100000</f>
        <v>0</v>
      </c>
      <c r="S137" s="24">
        <f>COUNTIFS('Aug-24 CREDIT MIS'!S:S,"Visit Pending",'Aug-24 CREDIT MIS'!E:E,'Aug Dashboard.'!B137,'Aug-24 CREDIT MIS'!I:I,'Aug Dashboard.'!A137,'Aug-24 CREDIT MIS'!N:N,'Aug Dashboard.'!$A$155)</f>
        <v>0</v>
      </c>
      <c r="T137" s="24">
        <f>SUMIFS('Aug-24 CREDIT MIS'!T:T,'Aug-24 CREDIT MIS'!S:S,"Visit Pending",'Aug-24 CREDIT MIS'!E:E,'Aug Dashboard.'!B137,'Aug-24 CREDIT MIS'!I:I,'Aug Dashboard.'!A137,'Aug-24 CREDIT MIS'!N:N,'Aug Dashboard.'!$A$155)/100000</f>
        <v>0</v>
      </c>
    </row>
    <row r="138" spans="1:20" x14ac:dyDescent="0.25">
      <c r="A138" s="134" t="s">
        <v>477</v>
      </c>
      <c r="B138" t="s">
        <v>475</v>
      </c>
      <c r="C138" s="24">
        <f>COUNTIFS('Aug-24 CREDIT MIS'!C:C,"&lt;01-08-2024",'Aug-24 CREDIT MIS'!E:E,'Aug Dashboard.'!B138,'Aug-24 CREDIT MIS'!I:I,'Aug Dashboard.'!A138,'Aug-24 CREDIT MIS'!N:N,"Sunil Bagoria")</f>
        <v>0</v>
      </c>
      <c r="D138" s="24">
        <f>SUMIFS('Aug-24 CREDIT MIS'!T:T,'Aug-24 CREDIT MIS'!C:C,"&lt;01-08-2024",'Aug-24 CREDIT MIS'!E:E,'Aug Dashboard.'!B138,'Aug-24 CREDIT MIS'!I:I,'Aug Dashboard.'!A138,'Aug-24 CREDIT MIS'!N:N,"Sunil Bagoria")/100000</f>
        <v>0</v>
      </c>
      <c r="E138" s="24">
        <f>COUNTIFS('Aug-24 CREDIT MIS'!C:C,"&gt;=01-08-2024",'Aug-24 CREDIT MIS'!E:E,'Aug Dashboard.'!B138,'Aug-24 CREDIT MIS'!I:I,'Aug Dashboard.'!A138,'Aug-24 CREDIT MIS'!N:N,"Sunil Bagoria")</f>
        <v>1</v>
      </c>
      <c r="F138" s="24">
        <f>SUMIFS('Aug-24 CREDIT MIS'!T:T,'Aug-24 CREDIT MIS'!C:C,"&gt;=01-08-2024",'Aug-24 CREDIT MIS'!E:E,'Aug Dashboard.'!B138,'Aug-24 CREDIT MIS'!I:I,'Aug Dashboard.'!A138,'Aug-24 CREDIT MIS'!N:N,"Sunil Bagoria")/100000</f>
        <v>6</v>
      </c>
      <c r="G138" s="24">
        <f t="shared" si="48"/>
        <v>1</v>
      </c>
      <c r="H138" s="24">
        <f t="shared" si="49"/>
        <v>6</v>
      </c>
      <c r="I138" s="24">
        <f>COUNTIFS('Aug-24 CREDIT MIS'!S:S,"Sanction",'Aug-24 CREDIT MIS'!E:E,'Aug Dashboard.'!B138,'Aug-24 CREDIT MIS'!I:I,'Aug Dashboard.'!A138,'Aug-24 CREDIT MIS'!N:N,'Aug Dashboard.'!$A$155)+COUNTIFS('Aug-24 CREDIT MIS'!S:S,"Disbursed",'Aug-24 CREDIT MIS'!E:E,'Aug Dashboard.'!B138,'Aug-24 CREDIT MIS'!I:I,'Aug Dashboard.'!A138,'Aug-24 CREDIT MIS'!N:N,'Aug Dashboard.'!$A$155)</f>
        <v>0</v>
      </c>
      <c r="J138" s="24">
        <f>SUMIFS('Aug-24 CREDIT MIS'!V:V,'Aug-24 CREDIT MIS'!S:S,"Sanction",'Aug-24 CREDIT MIS'!E:E,'Aug Dashboard.'!B138,'Aug-24 CREDIT MIS'!I:I,'Aug Dashboard.'!A138,'Aug-24 CREDIT MIS'!N:N,'Aug Dashboard.'!$A$155)/100000+SUMIFS('Aug-24 CREDIT MIS'!V:V,'Aug-24 CREDIT MIS'!S:S,"Disbursed",'Aug-24 CREDIT MIS'!E:E,'Aug Dashboard.'!B138,'Aug-24 CREDIT MIS'!I:I,'Aug Dashboard.'!A138,'Aug-24 CREDIT MIS'!N:N,'Aug Dashboard.'!$A$155)/100000</f>
        <v>0</v>
      </c>
      <c r="K138" s="24">
        <f>COUNTIFS('Aug-24 CREDIT MIS'!S:S,"Reject",'Aug-24 CREDIT MIS'!E:E,'Aug Dashboard.'!B138,'Aug-24 CREDIT MIS'!I:I,'Aug Dashboard.'!A138,'Aug-24 CREDIT MIS'!N:N,'Aug Dashboard.'!$A$155)</f>
        <v>1</v>
      </c>
      <c r="L138" s="24">
        <f>SUMIFS('Aug-24 CREDIT MIS'!T:T,'Aug-24 CREDIT MIS'!S:S,"Reject",'Aug-24 CREDIT MIS'!E:E,'Aug Dashboard.'!B138,'Aug-24 CREDIT MIS'!I:I,'Aug Dashboard.'!A138,'Aug-24 CREDIT MIS'!N:N,'Aug Dashboard.'!$A$155)/100000</f>
        <v>6</v>
      </c>
      <c r="M138" s="24">
        <f>COUNTIFS('Aug-24 CREDIT MIS'!S:S,"Recommend",'Aug-24 CREDIT MIS'!E:E,'Aug Dashboard.'!B138,'Aug-24 CREDIT MIS'!I:I,'Aug Dashboard.'!A138,'Aug-24 CREDIT MIS'!N:N,'Aug Dashboard.'!$A$155)</f>
        <v>0</v>
      </c>
      <c r="N138" s="24">
        <f>SUMIFS('Aug-24 CREDIT MIS'!T:T,'Aug-24 CREDIT MIS'!S:S,"Recommend",'Aug-24 CREDIT MIS'!E:E,'Aug Dashboard.'!B138,'Aug-24 CREDIT MIS'!I:I,'Aug Dashboard.'!A138,'Aug-24 CREDIT MIS'!N:N,'Aug Dashboard.'!$A$155)/100000</f>
        <v>0</v>
      </c>
      <c r="O138" s="24">
        <f>COUNTIFS('Aug-24 CREDIT MIS'!S:S,"Query- Sales",'Aug-24 CREDIT MIS'!E:E,'Aug Dashboard.'!B138,'Aug-24 CREDIT MIS'!I:I,'Aug Dashboard.'!A138,'Aug-24 CREDIT MIS'!N:N,'Aug Dashboard.'!$A$155)</f>
        <v>0</v>
      </c>
      <c r="P138" s="24">
        <f>SUMIFS('Aug-24 CREDIT MIS'!T:T,'Aug-24 CREDIT MIS'!S:S,"Query- Sales",'Aug-24 CREDIT MIS'!E:E,'Aug Dashboard.'!B138,'Aug-24 CREDIT MIS'!I:I,'Aug Dashboard.'!A138,'Aug-24 CREDIT MIS'!N:N,'Aug Dashboard.'!$A$155)/100000</f>
        <v>0</v>
      </c>
      <c r="Q138" s="24">
        <f>COUNTIFS('Aug-24 CREDIT MIS'!S:S,"WIP- Credit",'Aug-24 CREDIT MIS'!E:E,'Aug Dashboard.'!B138,'Aug-24 CREDIT MIS'!I:I,'Aug Dashboard.'!A138,'Aug-24 CREDIT MIS'!N:N,'Aug Dashboard.'!$A$155)</f>
        <v>0</v>
      </c>
      <c r="R138" s="24">
        <f>SUMIFS('Aug-24 CREDIT MIS'!T:T,'Aug-24 CREDIT MIS'!S:S,"WIP- Credit",'Aug-24 CREDIT MIS'!E:E,'Aug Dashboard.'!B138,'Aug-24 CREDIT MIS'!I:I,'Aug Dashboard.'!A138,'Aug-24 CREDIT MIS'!N:N,'Aug Dashboard.'!$A$155)/100000</f>
        <v>0</v>
      </c>
      <c r="S138" s="24">
        <f>COUNTIFS('Aug-24 CREDIT MIS'!S:S,"Visit Pending",'Aug-24 CREDIT MIS'!E:E,'Aug Dashboard.'!B138,'Aug-24 CREDIT MIS'!I:I,'Aug Dashboard.'!A138,'Aug-24 CREDIT MIS'!N:N,'Aug Dashboard.'!$A$155)</f>
        <v>0</v>
      </c>
      <c r="T138" s="24">
        <f>SUMIFS('Aug-24 CREDIT MIS'!T:T,'Aug-24 CREDIT MIS'!S:S,"Visit Pending",'Aug-24 CREDIT MIS'!E:E,'Aug Dashboard.'!B138,'Aug-24 CREDIT MIS'!I:I,'Aug Dashboard.'!A138,'Aug-24 CREDIT MIS'!N:N,'Aug Dashboard.'!$A$155)/100000</f>
        <v>0</v>
      </c>
    </row>
    <row r="139" spans="1:20" x14ac:dyDescent="0.25">
      <c r="A139" s="26" t="s">
        <v>190</v>
      </c>
      <c r="B139" s="25" t="s">
        <v>71</v>
      </c>
      <c r="C139" s="24">
        <f>COUNTIFS('Aug-24 CREDIT MIS'!C:C,"&lt;01-08-2024",'Aug-24 CREDIT MIS'!E:E,'Aug Dashboard.'!B139,'Aug-24 CREDIT MIS'!I:I,'Aug Dashboard.'!A139,'Aug-24 CREDIT MIS'!N:N,"Sunil Bagoria")</f>
        <v>0</v>
      </c>
      <c r="D139" s="24">
        <f>SUMIFS('Aug-24 CREDIT MIS'!T:T,'Aug-24 CREDIT MIS'!C:C,"&lt;01-08-2024",'Aug-24 CREDIT MIS'!E:E,'Aug Dashboard.'!B139,'Aug-24 CREDIT MIS'!I:I,'Aug Dashboard.'!A139,'Aug-24 CREDIT MIS'!N:N,"Sunil Bagoria")/100000</f>
        <v>0</v>
      </c>
      <c r="E139" s="24">
        <f>COUNTIFS('Aug-24 CREDIT MIS'!C:C,"&gt;=01-08-2024",'Aug-24 CREDIT MIS'!E:E,'Aug Dashboard.'!B139,'Aug-24 CREDIT MIS'!I:I,'Aug Dashboard.'!A139,'Aug-24 CREDIT MIS'!N:N,"Sunil Bagoria")</f>
        <v>0</v>
      </c>
      <c r="F139" s="24">
        <f>SUMIFS('Aug-24 CREDIT MIS'!T:T,'Aug-24 CREDIT MIS'!C:C,"&gt;=01-08-2024",'Aug-24 CREDIT MIS'!E:E,'Aug Dashboard.'!B139,'Aug-24 CREDIT MIS'!I:I,'Aug Dashboard.'!A139,'Aug-24 CREDIT MIS'!N:N,"Sunil Bagoria")/100000</f>
        <v>0</v>
      </c>
      <c r="G139" s="24">
        <f t="shared" si="48"/>
        <v>0</v>
      </c>
      <c r="H139" s="24">
        <f t="shared" si="49"/>
        <v>0</v>
      </c>
      <c r="I139" s="24">
        <f>COUNTIFS('Aug-24 CREDIT MIS'!S:S,"Sanction",'Aug-24 CREDIT MIS'!E:E,'Aug Dashboard.'!B139,'Aug-24 CREDIT MIS'!I:I,'Aug Dashboard.'!A139,'Aug-24 CREDIT MIS'!N:N,'Aug Dashboard.'!$A$155)+COUNTIFS('Aug-24 CREDIT MIS'!S:S,"Disbursed",'Aug-24 CREDIT MIS'!E:E,'Aug Dashboard.'!B139,'Aug-24 CREDIT MIS'!I:I,'Aug Dashboard.'!A139,'Aug-24 CREDIT MIS'!N:N,'Aug Dashboard.'!$A$155)</f>
        <v>0</v>
      </c>
      <c r="J139" s="24">
        <f>SUMIFS('Aug-24 CREDIT MIS'!V:V,'Aug-24 CREDIT MIS'!S:S,"Sanction",'Aug-24 CREDIT MIS'!E:E,'Aug Dashboard.'!B139,'Aug-24 CREDIT MIS'!I:I,'Aug Dashboard.'!A139,'Aug-24 CREDIT MIS'!N:N,'Aug Dashboard.'!$A$155)/100000+SUMIFS('Aug-24 CREDIT MIS'!V:V,'Aug-24 CREDIT MIS'!S:S,"Disbursed",'Aug-24 CREDIT MIS'!E:E,'Aug Dashboard.'!B139,'Aug-24 CREDIT MIS'!I:I,'Aug Dashboard.'!A139,'Aug-24 CREDIT MIS'!N:N,'Aug Dashboard.'!$A$155)/100000</f>
        <v>0</v>
      </c>
      <c r="K139" s="24">
        <f>COUNTIFS('Aug-24 CREDIT MIS'!S:S,"Reject",'Aug-24 CREDIT MIS'!E:E,'Aug Dashboard.'!B139,'Aug-24 CREDIT MIS'!I:I,'Aug Dashboard.'!A139,'Aug-24 CREDIT MIS'!N:N,'Aug Dashboard.'!$A$155)</f>
        <v>0</v>
      </c>
      <c r="L139" s="24">
        <f>SUMIFS('Aug-24 CREDIT MIS'!T:T,'Aug-24 CREDIT MIS'!S:S,"Reject",'Aug-24 CREDIT MIS'!E:E,'Aug Dashboard.'!B139,'Aug-24 CREDIT MIS'!I:I,'Aug Dashboard.'!A139,'Aug-24 CREDIT MIS'!N:N,'Aug Dashboard.'!$A$155)/100000</f>
        <v>0</v>
      </c>
      <c r="M139" s="24">
        <f>COUNTIFS('Aug-24 CREDIT MIS'!S:S,"Recommend",'Aug-24 CREDIT MIS'!E:E,'Aug Dashboard.'!B139,'Aug-24 CREDIT MIS'!I:I,'Aug Dashboard.'!A139,'Aug-24 CREDIT MIS'!N:N,'Aug Dashboard.'!$A$155)</f>
        <v>0</v>
      </c>
      <c r="N139" s="24">
        <f>SUMIFS('Aug-24 CREDIT MIS'!T:T,'Aug-24 CREDIT MIS'!S:S,"Recommend",'Aug-24 CREDIT MIS'!E:E,'Aug Dashboard.'!B139,'Aug-24 CREDIT MIS'!I:I,'Aug Dashboard.'!A139,'Aug-24 CREDIT MIS'!N:N,'Aug Dashboard.'!$A$155)/100000</f>
        <v>0</v>
      </c>
      <c r="O139" s="24">
        <f>COUNTIFS('Aug-24 CREDIT MIS'!S:S,"Query- Sales",'Aug-24 CREDIT MIS'!E:E,'Aug Dashboard.'!B139,'Aug-24 CREDIT MIS'!I:I,'Aug Dashboard.'!A139,'Aug-24 CREDIT MIS'!N:N,'Aug Dashboard.'!$A$155)</f>
        <v>0</v>
      </c>
      <c r="P139" s="24">
        <f>SUMIFS('Aug-24 CREDIT MIS'!T:T,'Aug-24 CREDIT MIS'!S:S,"Query- Sales",'Aug-24 CREDIT MIS'!E:E,'Aug Dashboard.'!B139,'Aug-24 CREDIT MIS'!I:I,'Aug Dashboard.'!A139,'Aug-24 CREDIT MIS'!N:N,'Aug Dashboard.'!$A$155)/100000</f>
        <v>0</v>
      </c>
      <c r="Q139" s="24">
        <f>COUNTIFS('Aug-24 CREDIT MIS'!S:S,"WIP- Credit",'Aug-24 CREDIT MIS'!E:E,'Aug Dashboard.'!B139,'Aug-24 CREDIT MIS'!I:I,'Aug Dashboard.'!A139,'Aug-24 CREDIT MIS'!N:N,'Aug Dashboard.'!$A$155)</f>
        <v>0</v>
      </c>
      <c r="R139" s="24">
        <f>SUMIFS('Aug-24 CREDIT MIS'!T:T,'Aug-24 CREDIT MIS'!S:S,"WIP- Credit",'Aug-24 CREDIT MIS'!E:E,'Aug Dashboard.'!B139,'Aug-24 CREDIT MIS'!I:I,'Aug Dashboard.'!A139,'Aug-24 CREDIT MIS'!N:N,'Aug Dashboard.'!$A$155)/100000</f>
        <v>0</v>
      </c>
      <c r="S139" s="24">
        <f>COUNTIFS('Aug-24 CREDIT MIS'!S:S,"Visit Pending",'Aug-24 CREDIT MIS'!E:E,'Aug Dashboard.'!B139,'Aug-24 CREDIT MIS'!I:I,'Aug Dashboard.'!A139,'Aug-24 CREDIT MIS'!N:N,'Aug Dashboard.'!$A$155)</f>
        <v>0</v>
      </c>
      <c r="T139" s="24">
        <f>SUMIFS('Aug-24 CREDIT MIS'!T:T,'Aug-24 CREDIT MIS'!S:S,"Visit Pending",'Aug-24 CREDIT MIS'!E:E,'Aug Dashboard.'!B139,'Aug-24 CREDIT MIS'!I:I,'Aug Dashboard.'!A139,'Aug-24 CREDIT MIS'!N:N,'Aug Dashboard.'!$A$155)/100000</f>
        <v>0</v>
      </c>
    </row>
    <row r="140" spans="1:20" x14ac:dyDescent="0.25">
      <c r="A140" s="60" t="s">
        <v>189</v>
      </c>
      <c r="B140" s="25" t="s">
        <v>50</v>
      </c>
      <c r="C140" s="24">
        <f>COUNTIFS('Aug-24 CREDIT MIS'!C:C,"&lt;01-08-2024",'Aug-24 CREDIT MIS'!E:E,'Aug Dashboard.'!B140,'Aug-24 CREDIT MIS'!I:I,'Aug Dashboard.'!A140,'Aug-24 CREDIT MIS'!N:N,"Sunil Bagoria")</f>
        <v>0</v>
      </c>
      <c r="D140" s="24">
        <f>SUMIFS('Aug-24 CREDIT MIS'!T:T,'Aug-24 CREDIT MIS'!C:C,"&lt;01-08-2024",'Aug-24 CREDIT MIS'!E:E,'Aug Dashboard.'!B140,'Aug-24 CREDIT MIS'!I:I,'Aug Dashboard.'!A140,'Aug-24 CREDIT MIS'!N:N,"Sunil Bagoria")/100000</f>
        <v>0</v>
      </c>
      <c r="E140" s="24">
        <f>COUNTIFS('Aug-24 CREDIT MIS'!C:C,"&gt;=01-08-2024",'Aug-24 CREDIT MIS'!E:E,'Aug Dashboard.'!B140,'Aug-24 CREDIT MIS'!I:I,'Aug Dashboard.'!A140,'Aug-24 CREDIT MIS'!N:N,"Sunil Bagoria")</f>
        <v>0</v>
      </c>
      <c r="F140" s="24">
        <f>SUMIFS('Aug-24 CREDIT MIS'!T:T,'Aug-24 CREDIT MIS'!C:C,"&gt;=01-08-2024",'Aug-24 CREDIT MIS'!E:E,'Aug Dashboard.'!B140,'Aug-24 CREDIT MIS'!I:I,'Aug Dashboard.'!A140,'Aug-24 CREDIT MIS'!N:N,"Sunil Bagoria")/100000</f>
        <v>0</v>
      </c>
      <c r="G140" s="24">
        <f t="shared" si="48"/>
        <v>0</v>
      </c>
      <c r="H140" s="24">
        <f t="shared" si="49"/>
        <v>0</v>
      </c>
      <c r="I140" s="24">
        <f>COUNTIFS('Aug-24 CREDIT MIS'!S:S,"Sanction",'Aug-24 CREDIT MIS'!E:E,'Aug Dashboard.'!B140,'Aug-24 CREDIT MIS'!I:I,'Aug Dashboard.'!A140,'Aug-24 CREDIT MIS'!N:N,'Aug Dashboard.'!$A$155)+COUNTIFS('Aug-24 CREDIT MIS'!S:S,"Disbursed",'Aug-24 CREDIT MIS'!E:E,'Aug Dashboard.'!B140,'Aug-24 CREDIT MIS'!I:I,'Aug Dashboard.'!A140,'Aug-24 CREDIT MIS'!N:N,'Aug Dashboard.'!$A$155)</f>
        <v>0</v>
      </c>
      <c r="J140" s="24">
        <f>SUMIFS('Aug-24 CREDIT MIS'!V:V,'Aug-24 CREDIT MIS'!S:S,"Sanction",'Aug-24 CREDIT MIS'!E:E,'Aug Dashboard.'!B140,'Aug-24 CREDIT MIS'!I:I,'Aug Dashboard.'!A140,'Aug-24 CREDIT MIS'!N:N,'Aug Dashboard.'!$A$155)/100000+SUMIFS('Aug-24 CREDIT MIS'!V:V,'Aug-24 CREDIT MIS'!S:S,"Disbursed",'Aug-24 CREDIT MIS'!E:E,'Aug Dashboard.'!B140,'Aug-24 CREDIT MIS'!I:I,'Aug Dashboard.'!A140,'Aug-24 CREDIT MIS'!N:N,'Aug Dashboard.'!$A$155)/100000</f>
        <v>0</v>
      </c>
      <c r="K140" s="24">
        <f>COUNTIFS('Aug-24 CREDIT MIS'!S:S,"Reject",'Aug-24 CREDIT MIS'!E:E,'Aug Dashboard.'!B140,'Aug-24 CREDIT MIS'!I:I,'Aug Dashboard.'!A140,'Aug-24 CREDIT MIS'!N:N,'Aug Dashboard.'!$A$155)</f>
        <v>0</v>
      </c>
      <c r="L140" s="24">
        <f>SUMIFS('Aug-24 CREDIT MIS'!T:T,'Aug-24 CREDIT MIS'!S:S,"Reject",'Aug-24 CREDIT MIS'!E:E,'Aug Dashboard.'!B140,'Aug-24 CREDIT MIS'!I:I,'Aug Dashboard.'!A140,'Aug-24 CREDIT MIS'!N:N,'Aug Dashboard.'!$A$155)/100000</f>
        <v>0</v>
      </c>
      <c r="M140" s="24">
        <f>COUNTIFS('Aug-24 CREDIT MIS'!S:S,"Recommend",'Aug-24 CREDIT MIS'!E:E,'Aug Dashboard.'!B140,'Aug-24 CREDIT MIS'!I:I,'Aug Dashboard.'!A140,'Aug-24 CREDIT MIS'!N:N,'Aug Dashboard.'!$A$155)</f>
        <v>0</v>
      </c>
      <c r="N140" s="24">
        <f>SUMIFS('Aug-24 CREDIT MIS'!T:T,'Aug-24 CREDIT MIS'!S:S,"Recommend",'Aug-24 CREDIT MIS'!E:E,'Aug Dashboard.'!B140,'Aug-24 CREDIT MIS'!I:I,'Aug Dashboard.'!A140,'Aug-24 CREDIT MIS'!N:N,'Aug Dashboard.'!$A$155)/100000</f>
        <v>0</v>
      </c>
      <c r="O140" s="24">
        <f>COUNTIFS('Aug-24 CREDIT MIS'!S:S,"Query- Sales",'Aug-24 CREDIT MIS'!E:E,'Aug Dashboard.'!B140,'Aug-24 CREDIT MIS'!I:I,'Aug Dashboard.'!A140,'Aug-24 CREDIT MIS'!N:N,'Aug Dashboard.'!$A$155)</f>
        <v>0</v>
      </c>
      <c r="P140" s="24">
        <f>SUMIFS('Aug-24 CREDIT MIS'!T:T,'Aug-24 CREDIT MIS'!S:S,"Query- Sales",'Aug-24 CREDIT MIS'!E:E,'Aug Dashboard.'!B140,'Aug-24 CREDIT MIS'!I:I,'Aug Dashboard.'!A140,'Aug-24 CREDIT MIS'!N:N,'Aug Dashboard.'!$A$155)/100000</f>
        <v>0</v>
      </c>
      <c r="Q140" s="24">
        <f>COUNTIFS('Aug-24 CREDIT MIS'!S:S,"WIP- Credit",'Aug-24 CREDIT MIS'!E:E,'Aug Dashboard.'!B140,'Aug-24 CREDIT MIS'!I:I,'Aug Dashboard.'!A140,'Aug-24 CREDIT MIS'!N:N,'Aug Dashboard.'!$A$155)</f>
        <v>0</v>
      </c>
      <c r="R140" s="24">
        <f>SUMIFS('Aug-24 CREDIT MIS'!T:T,'Aug-24 CREDIT MIS'!S:S,"WIP- Credit",'Aug-24 CREDIT MIS'!E:E,'Aug Dashboard.'!B140,'Aug-24 CREDIT MIS'!I:I,'Aug Dashboard.'!A140,'Aug-24 CREDIT MIS'!N:N,'Aug Dashboard.'!$A$155)/100000</f>
        <v>0</v>
      </c>
      <c r="S140" s="24">
        <f>COUNTIFS('Aug-24 CREDIT MIS'!S:S,"Visit Pending",'Aug-24 CREDIT MIS'!E:E,'Aug Dashboard.'!B140,'Aug-24 CREDIT MIS'!I:I,'Aug Dashboard.'!A140,'Aug-24 CREDIT MIS'!N:N,'Aug Dashboard.'!$A$155)</f>
        <v>0</v>
      </c>
      <c r="T140" s="24">
        <f>SUMIFS('Aug-24 CREDIT MIS'!T:T,'Aug-24 CREDIT MIS'!S:S,"Visit Pending",'Aug-24 CREDIT MIS'!E:E,'Aug Dashboard.'!B140,'Aug-24 CREDIT MIS'!I:I,'Aug Dashboard.'!A140,'Aug-24 CREDIT MIS'!N:N,'Aug Dashboard.'!$A$155)/100000</f>
        <v>0</v>
      </c>
    </row>
    <row r="141" spans="1:20" x14ac:dyDescent="0.25">
      <c r="A141" s="60" t="s">
        <v>188</v>
      </c>
      <c r="B141" s="25" t="s">
        <v>50</v>
      </c>
      <c r="C141" s="24">
        <f>COUNTIFS('Aug-24 CREDIT MIS'!C:C,"&lt;01-08-2024",'Aug-24 CREDIT MIS'!E:E,'Aug Dashboard.'!B141,'Aug-24 CREDIT MIS'!I:I,'Aug Dashboard.'!A141,'Aug-24 CREDIT MIS'!N:N,"Sunil Bagoria")</f>
        <v>0</v>
      </c>
      <c r="D141" s="24">
        <f>SUMIFS('Aug-24 CREDIT MIS'!T:T,'Aug-24 CREDIT MIS'!C:C,"&lt;01-08-2024",'Aug-24 CREDIT MIS'!E:E,'Aug Dashboard.'!B141,'Aug-24 CREDIT MIS'!I:I,'Aug Dashboard.'!A141,'Aug-24 CREDIT MIS'!N:N,"Sunil Bagoria")/100000</f>
        <v>0</v>
      </c>
      <c r="E141" s="24">
        <f>COUNTIFS('Aug-24 CREDIT MIS'!C:C,"&gt;=01-08-2024",'Aug-24 CREDIT MIS'!E:E,'Aug Dashboard.'!B141,'Aug-24 CREDIT MIS'!I:I,'Aug Dashboard.'!A141,'Aug-24 CREDIT MIS'!N:N,"Sunil Bagoria")</f>
        <v>1</v>
      </c>
      <c r="F141" s="24">
        <f>SUMIFS('Aug-24 CREDIT MIS'!T:T,'Aug-24 CREDIT MIS'!C:C,"&gt;=01-08-2024",'Aug-24 CREDIT MIS'!E:E,'Aug Dashboard.'!B141,'Aug-24 CREDIT MIS'!I:I,'Aug Dashboard.'!A141,'Aug-24 CREDIT MIS'!N:N,"Sunil Bagoria")/100000</f>
        <v>3</v>
      </c>
      <c r="G141" s="24">
        <f t="shared" si="48"/>
        <v>1</v>
      </c>
      <c r="H141" s="24">
        <f t="shared" si="49"/>
        <v>3</v>
      </c>
      <c r="I141" s="24">
        <f>COUNTIFS('Aug-24 CREDIT MIS'!S:S,"Sanction",'Aug-24 CREDIT MIS'!E:E,'Aug Dashboard.'!B141,'Aug-24 CREDIT MIS'!I:I,'Aug Dashboard.'!A141,'Aug-24 CREDIT MIS'!N:N,'Aug Dashboard.'!$A$155)+COUNTIFS('Aug-24 CREDIT MIS'!S:S,"Disbursed",'Aug-24 CREDIT MIS'!E:E,'Aug Dashboard.'!B141,'Aug-24 CREDIT MIS'!I:I,'Aug Dashboard.'!A141,'Aug-24 CREDIT MIS'!N:N,'Aug Dashboard.'!$A$155)</f>
        <v>0</v>
      </c>
      <c r="J141" s="24">
        <f>SUMIFS('Aug-24 CREDIT MIS'!V:V,'Aug-24 CREDIT MIS'!S:S,"Sanction",'Aug-24 CREDIT MIS'!E:E,'Aug Dashboard.'!B141,'Aug-24 CREDIT MIS'!I:I,'Aug Dashboard.'!A141,'Aug-24 CREDIT MIS'!N:N,'Aug Dashboard.'!$A$155)/100000+SUMIFS('Aug-24 CREDIT MIS'!V:V,'Aug-24 CREDIT MIS'!S:S,"Disbursed",'Aug-24 CREDIT MIS'!E:E,'Aug Dashboard.'!B141,'Aug-24 CREDIT MIS'!I:I,'Aug Dashboard.'!A141,'Aug-24 CREDIT MIS'!N:N,'Aug Dashboard.'!$A$155)/100000</f>
        <v>0</v>
      </c>
      <c r="K141" s="24">
        <f>COUNTIFS('Aug-24 CREDIT MIS'!S:S,"Reject",'Aug-24 CREDIT MIS'!E:E,'Aug Dashboard.'!B141,'Aug-24 CREDIT MIS'!I:I,'Aug Dashboard.'!A141,'Aug-24 CREDIT MIS'!N:N,'Aug Dashboard.'!$A$155)</f>
        <v>1</v>
      </c>
      <c r="L141" s="24">
        <f>SUMIFS('Aug-24 CREDIT MIS'!T:T,'Aug-24 CREDIT MIS'!S:S,"Reject",'Aug-24 CREDIT MIS'!E:E,'Aug Dashboard.'!B141,'Aug-24 CREDIT MIS'!I:I,'Aug Dashboard.'!A141,'Aug-24 CREDIT MIS'!N:N,'Aug Dashboard.'!$A$155)/100000</f>
        <v>3</v>
      </c>
      <c r="M141" s="24">
        <f>COUNTIFS('Aug-24 CREDIT MIS'!S:S,"Recommend",'Aug-24 CREDIT MIS'!E:E,'Aug Dashboard.'!B141,'Aug-24 CREDIT MIS'!I:I,'Aug Dashboard.'!A141,'Aug-24 CREDIT MIS'!N:N,'Aug Dashboard.'!$A$155)</f>
        <v>0</v>
      </c>
      <c r="N141" s="24">
        <f>SUMIFS('Aug-24 CREDIT MIS'!T:T,'Aug-24 CREDIT MIS'!S:S,"Recommend",'Aug-24 CREDIT MIS'!E:E,'Aug Dashboard.'!B141,'Aug-24 CREDIT MIS'!I:I,'Aug Dashboard.'!A141,'Aug-24 CREDIT MIS'!N:N,'Aug Dashboard.'!$A$155)/100000</f>
        <v>0</v>
      </c>
      <c r="O141" s="24">
        <f>COUNTIFS('Aug-24 CREDIT MIS'!S:S,"Query- Sales",'Aug-24 CREDIT MIS'!E:E,'Aug Dashboard.'!B141,'Aug-24 CREDIT MIS'!I:I,'Aug Dashboard.'!A141,'Aug-24 CREDIT MIS'!N:N,'Aug Dashboard.'!$A$155)</f>
        <v>0</v>
      </c>
      <c r="P141" s="24">
        <f>SUMIFS('Aug-24 CREDIT MIS'!T:T,'Aug-24 CREDIT MIS'!S:S,"Query- Sales",'Aug-24 CREDIT MIS'!E:E,'Aug Dashboard.'!B141,'Aug-24 CREDIT MIS'!I:I,'Aug Dashboard.'!A141,'Aug-24 CREDIT MIS'!N:N,'Aug Dashboard.'!$A$155)/100000</f>
        <v>0</v>
      </c>
      <c r="Q141" s="24">
        <f>COUNTIFS('Aug-24 CREDIT MIS'!S:S,"WIP- Credit",'Aug-24 CREDIT MIS'!E:E,'Aug Dashboard.'!B141,'Aug-24 CREDIT MIS'!I:I,'Aug Dashboard.'!A141,'Aug-24 CREDIT MIS'!N:N,'Aug Dashboard.'!$A$155)</f>
        <v>0</v>
      </c>
      <c r="R141" s="24">
        <f>SUMIFS('Aug-24 CREDIT MIS'!T:T,'Aug-24 CREDIT MIS'!S:S,"WIP- Credit",'Aug-24 CREDIT MIS'!E:E,'Aug Dashboard.'!B141,'Aug-24 CREDIT MIS'!I:I,'Aug Dashboard.'!A141,'Aug-24 CREDIT MIS'!N:N,'Aug Dashboard.'!$A$155)/100000</f>
        <v>0</v>
      </c>
      <c r="S141" s="24">
        <f>COUNTIFS('Aug-24 CREDIT MIS'!S:S,"Visit Pending",'Aug-24 CREDIT MIS'!E:E,'Aug Dashboard.'!B141,'Aug-24 CREDIT MIS'!I:I,'Aug Dashboard.'!A141,'Aug-24 CREDIT MIS'!N:N,'Aug Dashboard.'!$A$155)</f>
        <v>0</v>
      </c>
      <c r="T141" s="24">
        <f>SUMIFS('Aug-24 CREDIT MIS'!T:T,'Aug-24 CREDIT MIS'!S:S,"Visit Pending",'Aug-24 CREDIT MIS'!E:E,'Aug Dashboard.'!B141,'Aug-24 CREDIT MIS'!I:I,'Aug Dashboard.'!A141,'Aug-24 CREDIT MIS'!N:N,'Aug Dashboard.'!$A$155)/100000</f>
        <v>0</v>
      </c>
    </row>
    <row r="142" spans="1:20" x14ac:dyDescent="0.25">
      <c r="A142" s="25" t="s">
        <v>187</v>
      </c>
      <c r="B142" s="25" t="s">
        <v>186</v>
      </c>
      <c r="C142" s="24">
        <f>COUNTIFS('Aug-24 CREDIT MIS'!C:C,"&lt;01-08-2024",'Aug-24 CREDIT MIS'!E:E,'Aug Dashboard.'!B142,'Aug-24 CREDIT MIS'!I:I,'Aug Dashboard.'!A142,'Aug-24 CREDIT MIS'!N:N,"Sunil Bagoria")</f>
        <v>0</v>
      </c>
      <c r="D142" s="24">
        <f>SUMIFS('Aug-24 CREDIT MIS'!T:T,'Aug-24 CREDIT MIS'!C:C,"&lt;01-08-2024",'Aug-24 CREDIT MIS'!E:E,'Aug Dashboard.'!B142,'Aug-24 CREDIT MIS'!I:I,'Aug Dashboard.'!A142,'Aug-24 CREDIT MIS'!N:N,"Sunil Bagoria")/100000</f>
        <v>0</v>
      </c>
      <c r="E142" s="24">
        <f>COUNTIFS('Aug-24 CREDIT MIS'!C:C,"&gt;=01-08-2024",'Aug-24 CREDIT MIS'!E:E,'Aug Dashboard.'!B142,'Aug-24 CREDIT MIS'!I:I,'Aug Dashboard.'!A142,'Aug-24 CREDIT MIS'!N:N,"Sunil Bagoria")</f>
        <v>0</v>
      </c>
      <c r="F142" s="24">
        <f>SUMIFS('Aug-24 CREDIT MIS'!T:T,'Aug-24 CREDIT MIS'!C:C,"&gt;=01-08-2024",'Aug-24 CREDIT MIS'!E:E,'Aug Dashboard.'!B142,'Aug-24 CREDIT MIS'!I:I,'Aug Dashboard.'!A142,'Aug-24 CREDIT MIS'!N:N,"Sunil Bagoria")/100000</f>
        <v>0</v>
      </c>
      <c r="G142" s="24">
        <f t="shared" si="48"/>
        <v>0</v>
      </c>
      <c r="H142" s="24">
        <f t="shared" si="49"/>
        <v>0</v>
      </c>
      <c r="I142" s="24">
        <f>COUNTIFS('Aug-24 CREDIT MIS'!S:S,"Sanction",'Aug-24 CREDIT MIS'!E:E,'Aug Dashboard.'!B142,'Aug-24 CREDIT MIS'!I:I,'Aug Dashboard.'!A142,'Aug-24 CREDIT MIS'!N:N,'Aug Dashboard.'!$A$155)+COUNTIFS('Aug-24 CREDIT MIS'!S:S,"Disbursed",'Aug-24 CREDIT MIS'!E:E,'Aug Dashboard.'!B142,'Aug-24 CREDIT MIS'!I:I,'Aug Dashboard.'!A142,'Aug-24 CREDIT MIS'!N:N,'Aug Dashboard.'!$A$155)</f>
        <v>0</v>
      </c>
      <c r="J142" s="24">
        <f>SUMIFS('Aug-24 CREDIT MIS'!V:V,'Aug-24 CREDIT MIS'!S:S,"Sanction",'Aug-24 CREDIT MIS'!E:E,'Aug Dashboard.'!B142,'Aug-24 CREDIT MIS'!I:I,'Aug Dashboard.'!A142,'Aug-24 CREDIT MIS'!N:N,'Aug Dashboard.'!$A$155)/100000+SUMIFS('Aug-24 CREDIT MIS'!V:V,'Aug-24 CREDIT MIS'!S:S,"Disbursed",'Aug-24 CREDIT MIS'!E:E,'Aug Dashboard.'!B142,'Aug-24 CREDIT MIS'!I:I,'Aug Dashboard.'!A142,'Aug-24 CREDIT MIS'!N:N,'Aug Dashboard.'!$A$155)/100000</f>
        <v>0</v>
      </c>
      <c r="K142" s="24">
        <f>COUNTIFS('Aug-24 CREDIT MIS'!S:S,"Reject",'Aug-24 CREDIT MIS'!E:E,'Aug Dashboard.'!B142,'Aug-24 CREDIT MIS'!I:I,'Aug Dashboard.'!A142,'Aug-24 CREDIT MIS'!N:N,'Aug Dashboard.'!$A$155)</f>
        <v>0</v>
      </c>
      <c r="L142" s="24">
        <f>SUMIFS('Aug-24 CREDIT MIS'!T:T,'Aug-24 CREDIT MIS'!S:S,"Reject",'Aug-24 CREDIT MIS'!E:E,'Aug Dashboard.'!B142,'Aug-24 CREDIT MIS'!I:I,'Aug Dashboard.'!A142,'Aug-24 CREDIT MIS'!N:N,'Aug Dashboard.'!$A$155)/100000</f>
        <v>0</v>
      </c>
      <c r="M142" s="24">
        <f>COUNTIFS('Aug-24 CREDIT MIS'!S:S,"Recommend",'Aug-24 CREDIT MIS'!E:E,'Aug Dashboard.'!B142,'Aug-24 CREDIT MIS'!I:I,'Aug Dashboard.'!A142,'Aug-24 CREDIT MIS'!N:N,'Aug Dashboard.'!$A$155)</f>
        <v>0</v>
      </c>
      <c r="N142" s="24">
        <f>SUMIFS('Aug-24 CREDIT MIS'!T:T,'Aug-24 CREDIT MIS'!S:S,"Recommend",'Aug-24 CREDIT MIS'!E:E,'Aug Dashboard.'!B142,'Aug-24 CREDIT MIS'!I:I,'Aug Dashboard.'!A142,'Aug-24 CREDIT MIS'!N:N,'Aug Dashboard.'!$A$155)/100000</f>
        <v>0</v>
      </c>
      <c r="O142" s="24">
        <f>COUNTIFS('Aug-24 CREDIT MIS'!S:S,"Query- Sales",'Aug-24 CREDIT MIS'!E:E,'Aug Dashboard.'!B142,'Aug-24 CREDIT MIS'!I:I,'Aug Dashboard.'!A142,'Aug-24 CREDIT MIS'!N:N,'Aug Dashboard.'!$A$155)</f>
        <v>0</v>
      </c>
      <c r="P142" s="24">
        <f>SUMIFS('Aug-24 CREDIT MIS'!T:T,'Aug-24 CREDIT MIS'!S:S,"Query- Sales",'Aug-24 CREDIT MIS'!E:E,'Aug Dashboard.'!B142,'Aug-24 CREDIT MIS'!I:I,'Aug Dashboard.'!A142,'Aug-24 CREDIT MIS'!N:N,'Aug Dashboard.'!$A$155)/100000</f>
        <v>0</v>
      </c>
      <c r="Q142" s="24">
        <f>COUNTIFS('Aug-24 CREDIT MIS'!S:S,"WIP- Credit",'Aug-24 CREDIT MIS'!E:E,'Aug Dashboard.'!B142,'Aug-24 CREDIT MIS'!I:I,'Aug Dashboard.'!A142,'Aug-24 CREDIT MIS'!N:N,'Aug Dashboard.'!$A$155)</f>
        <v>0</v>
      </c>
      <c r="R142" s="24">
        <f>SUMIFS('Aug-24 CREDIT MIS'!T:T,'Aug-24 CREDIT MIS'!S:S,"WIP- Credit",'Aug-24 CREDIT MIS'!E:E,'Aug Dashboard.'!B142,'Aug-24 CREDIT MIS'!I:I,'Aug Dashboard.'!A142,'Aug-24 CREDIT MIS'!N:N,'Aug Dashboard.'!$A$155)/100000</f>
        <v>0</v>
      </c>
      <c r="S142" s="24">
        <f>COUNTIFS('Aug-24 CREDIT MIS'!S:S,"Visit Pending",'Aug-24 CREDIT MIS'!E:E,'Aug Dashboard.'!B142,'Aug-24 CREDIT MIS'!I:I,'Aug Dashboard.'!A142,'Aug-24 CREDIT MIS'!N:N,'Aug Dashboard.'!$A$155)</f>
        <v>0</v>
      </c>
      <c r="T142" s="24">
        <f>SUMIFS('Aug-24 CREDIT MIS'!T:T,'Aug-24 CREDIT MIS'!S:S,"Visit Pending",'Aug-24 CREDIT MIS'!E:E,'Aug Dashboard.'!B142,'Aug-24 CREDIT MIS'!I:I,'Aug Dashboard.'!A142,'Aug-24 CREDIT MIS'!N:N,'Aug Dashboard.'!$A$155)/100000</f>
        <v>0</v>
      </c>
    </row>
    <row r="143" spans="1:20" x14ac:dyDescent="0.25">
      <c r="A143" s="137" t="s">
        <v>510</v>
      </c>
      <c r="B143" s="25" t="s">
        <v>509</v>
      </c>
      <c r="C143" s="24">
        <f>COUNTIFS('Aug-24 CREDIT MIS'!C:C,"&lt;01-08-2024",'Aug-24 CREDIT MIS'!E:E,'Aug Dashboard.'!B143,'Aug-24 CREDIT MIS'!I:I,'Aug Dashboard.'!A143,'Aug-24 CREDIT MIS'!N:N,"Sunil Bagoria")</f>
        <v>0</v>
      </c>
      <c r="D143" s="24">
        <f>SUMIFS('Aug-24 CREDIT MIS'!T:T,'Aug-24 CREDIT MIS'!C:C,"&lt;01-08-2024",'Aug-24 CREDIT MIS'!E:E,'Aug Dashboard.'!B143,'Aug-24 CREDIT MIS'!I:I,'Aug Dashboard.'!A143,'Aug-24 CREDIT MIS'!N:N,"Sunil Bagoria")/100000</f>
        <v>0</v>
      </c>
      <c r="E143" s="24">
        <f>COUNTIFS('Aug-24 CREDIT MIS'!C:C,"&gt;=01-08-2024",'Aug-24 CREDIT MIS'!E:E,'Aug Dashboard.'!B143,'Aug-24 CREDIT MIS'!I:I,'Aug Dashboard.'!A143,'Aug-24 CREDIT MIS'!N:N,"Sunil Bagoria")</f>
        <v>1</v>
      </c>
      <c r="F143" s="24">
        <f>SUMIFS('Aug-24 CREDIT MIS'!T:T,'Aug-24 CREDIT MIS'!C:C,"&gt;=01-08-2024",'Aug-24 CREDIT MIS'!E:E,'Aug Dashboard.'!B143,'Aug-24 CREDIT MIS'!I:I,'Aug Dashboard.'!A143,'Aug-24 CREDIT MIS'!N:N,"Sunil Bagoria")/100000</f>
        <v>5</v>
      </c>
      <c r="G143" s="24">
        <f t="shared" ref="G143" si="50">E143+C143</f>
        <v>1</v>
      </c>
      <c r="H143" s="24">
        <f t="shared" ref="H143" si="51">F143+D143</f>
        <v>5</v>
      </c>
      <c r="I143" s="24">
        <f>COUNTIFS('Aug-24 CREDIT MIS'!S:S,"Sanction",'Aug-24 CREDIT MIS'!E:E,'Aug Dashboard.'!B143,'Aug-24 CREDIT MIS'!I:I,'Aug Dashboard.'!A143,'Aug-24 CREDIT MIS'!N:N,'Aug Dashboard.'!$A$155)+COUNTIFS('Aug-24 CREDIT MIS'!S:S,"Disbursed",'Aug-24 CREDIT MIS'!E:E,'Aug Dashboard.'!B143,'Aug-24 CREDIT MIS'!I:I,'Aug Dashboard.'!A143,'Aug-24 CREDIT MIS'!N:N,'Aug Dashboard.'!$A$155)</f>
        <v>0</v>
      </c>
      <c r="J143" s="24">
        <f>SUMIFS('Aug-24 CREDIT MIS'!V:V,'Aug-24 CREDIT MIS'!S:S,"Sanction",'Aug-24 CREDIT MIS'!E:E,'Aug Dashboard.'!B143,'Aug-24 CREDIT MIS'!I:I,'Aug Dashboard.'!A143,'Aug-24 CREDIT MIS'!N:N,'Aug Dashboard.'!$A$155)/100000+SUMIFS('Aug-24 CREDIT MIS'!V:V,'Aug-24 CREDIT MIS'!S:S,"Disbursed",'Aug-24 CREDIT MIS'!E:E,'Aug Dashboard.'!B143,'Aug-24 CREDIT MIS'!I:I,'Aug Dashboard.'!A143,'Aug-24 CREDIT MIS'!N:N,'Aug Dashboard.'!$A$155)/100000</f>
        <v>0</v>
      </c>
      <c r="K143" s="24">
        <f>COUNTIFS('Aug-24 CREDIT MIS'!S:S,"Reject",'Aug-24 CREDIT MIS'!E:E,'Aug Dashboard.'!B143,'Aug-24 CREDIT MIS'!I:I,'Aug Dashboard.'!A143,'Aug-24 CREDIT MIS'!N:N,'Aug Dashboard.'!$A$155)</f>
        <v>0</v>
      </c>
      <c r="L143" s="24">
        <f>SUMIFS('Aug-24 CREDIT MIS'!T:T,'Aug-24 CREDIT MIS'!S:S,"Reject",'Aug-24 CREDIT MIS'!E:E,'Aug Dashboard.'!B143,'Aug-24 CREDIT MIS'!I:I,'Aug Dashboard.'!A143,'Aug-24 CREDIT MIS'!N:N,'Aug Dashboard.'!$A$155)/100000</f>
        <v>0</v>
      </c>
      <c r="M143" s="24">
        <f>COUNTIFS('Aug-24 CREDIT MIS'!S:S,"Recommend",'Aug-24 CREDIT MIS'!E:E,'Aug Dashboard.'!B143,'Aug-24 CREDIT MIS'!I:I,'Aug Dashboard.'!A143,'Aug-24 CREDIT MIS'!N:N,'Aug Dashboard.'!$A$155)</f>
        <v>0</v>
      </c>
      <c r="N143" s="24">
        <f>SUMIFS('Aug-24 CREDIT MIS'!T:T,'Aug-24 CREDIT MIS'!S:S,"Recommend",'Aug-24 CREDIT MIS'!E:E,'Aug Dashboard.'!B143,'Aug-24 CREDIT MIS'!I:I,'Aug Dashboard.'!A143,'Aug-24 CREDIT MIS'!N:N,'Aug Dashboard.'!$A$155)/100000</f>
        <v>0</v>
      </c>
      <c r="O143" s="24">
        <f>COUNTIFS('Aug-24 CREDIT MIS'!S:S,"Query- Sales",'Aug-24 CREDIT MIS'!E:E,'Aug Dashboard.'!B143,'Aug-24 CREDIT MIS'!I:I,'Aug Dashboard.'!A143,'Aug-24 CREDIT MIS'!N:N,'Aug Dashboard.'!$A$155)</f>
        <v>0</v>
      </c>
      <c r="P143" s="24">
        <f>SUMIFS('Aug-24 CREDIT MIS'!T:T,'Aug-24 CREDIT MIS'!S:S,"Query- Sales",'Aug-24 CREDIT MIS'!E:E,'Aug Dashboard.'!B143,'Aug-24 CREDIT MIS'!I:I,'Aug Dashboard.'!A143,'Aug-24 CREDIT MIS'!N:N,'Aug Dashboard.'!$A$155)/100000</f>
        <v>0</v>
      </c>
      <c r="Q143" s="24">
        <f>COUNTIFS('Aug-24 CREDIT MIS'!S:S,"WIP- Credit",'Aug-24 CREDIT MIS'!E:E,'Aug Dashboard.'!B143,'Aug-24 CREDIT MIS'!I:I,'Aug Dashboard.'!A143,'Aug-24 CREDIT MIS'!N:N,'Aug Dashboard.'!$A$155)</f>
        <v>1</v>
      </c>
      <c r="R143" s="24">
        <f>SUMIFS('Aug-24 CREDIT MIS'!T:T,'Aug-24 CREDIT MIS'!S:S,"WIP- Credit",'Aug-24 CREDIT MIS'!E:E,'Aug Dashboard.'!B143,'Aug-24 CREDIT MIS'!I:I,'Aug Dashboard.'!A143,'Aug-24 CREDIT MIS'!N:N,'Aug Dashboard.'!$A$155)/100000</f>
        <v>5</v>
      </c>
      <c r="S143" s="24">
        <f>COUNTIFS('Aug-24 CREDIT MIS'!S:S,"Visit Pending",'Aug-24 CREDIT MIS'!E:E,'Aug Dashboard.'!B143,'Aug-24 CREDIT MIS'!I:I,'Aug Dashboard.'!A143,'Aug-24 CREDIT MIS'!N:N,'Aug Dashboard.'!$A$155)</f>
        <v>0</v>
      </c>
      <c r="T143" s="24">
        <f>SUMIFS('Aug-24 CREDIT MIS'!T:T,'Aug-24 CREDIT MIS'!S:S,"Visit Pending",'Aug-24 CREDIT MIS'!E:E,'Aug Dashboard.'!B143,'Aug-24 CREDIT MIS'!I:I,'Aug Dashboard.'!A143,'Aug-24 CREDIT MIS'!N:N,'Aug Dashboard.'!$A$155)/100000</f>
        <v>0</v>
      </c>
    </row>
    <row r="144" spans="1:20" ht="15.75" thickBot="1" x14ac:dyDescent="0.3">
      <c r="A144" s="59" t="s">
        <v>185</v>
      </c>
      <c r="B144" s="25" t="s">
        <v>184</v>
      </c>
      <c r="C144" s="24">
        <f>COUNTIFS('Aug-24 CREDIT MIS'!C:C,"&lt;01-08-2024",'Aug-24 CREDIT MIS'!E:E,'Aug Dashboard.'!B144,'Aug-24 CREDIT MIS'!I:I,'Aug Dashboard.'!A144,'Aug-24 CREDIT MIS'!N:N,"Sunil Bagoria")</f>
        <v>0</v>
      </c>
      <c r="D144" s="24">
        <f>SUMIFS('Aug-24 CREDIT MIS'!T:T,'Aug-24 CREDIT MIS'!C:C,"&lt;01-08-2024",'Aug-24 CREDIT MIS'!E:E,'Aug Dashboard.'!B144,'Aug-24 CREDIT MIS'!I:I,'Aug Dashboard.'!A144,'Aug-24 CREDIT MIS'!N:N,"Sunil Bagoria")/100000</f>
        <v>0</v>
      </c>
      <c r="E144" s="24">
        <f>COUNTIFS('Aug-24 CREDIT MIS'!C:C,"&gt;=01-08-2024",'Aug-24 CREDIT MIS'!E:E,'Aug Dashboard.'!B144,'Aug-24 CREDIT MIS'!I:I,'Aug Dashboard.'!A144,'Aug-24 CREDIT MIS'!N:N,"Sunil Bagoria")</f>
        <v>0</v>
      </c>
      <c r="F144" s="24">
        <f>SUMIFS('Aug-24 CREDIT MIS'!T:T,'Aug-24 CREDIT MIS'!C:C,"&gt;=01-08-2024",'Aug-24 CREDIT MIS'!E:E,'Aug Dashboard.'!B144,'Aug-24 CREDIT MIS'!I:I,'Aug Dashboard.'!A144,'Aug-24 CREDIT MIS'!N:N,"Sunil Bagoria")/100000</f>
        <v>0</v>
      </c>
      <c r="G144" s="24">
        <f t="shared" si="48"/>
        <v>0</v>
      </c>
      <c r="H144" s="24">
        <f t="shared" si="49"/>
        <v>0</v>
      </c>
      <c r="I144" s="24">
        <f>COUNTIFS('Aug-24 CREDIT MIS'!S:S,"Sanction",'Aug-24 CREDIT MIS'!E:E,'Aug Dashboard.'!B144,'Aug-24 CREDIT MIS'!I:I,'Aug Dashboard.'!A144,'Aug-24 CREDIT MIS'!N:N,'Aug Dashboard.'!$A$155)+COUNTIFS('Aug-24 CREDIT MIS'!S:S,"Disbursed",'Aug-24 CREDIT MIS'!E:E,'Aug Dashboard.'!B144,'Aug-24 CREDIT MIS'!I:I,'Aug Dashboard.'!A144,'Aug-24 CREDIT MIS'!N:N,'Aug Dashboard.'!$A$155)</f>
        <v>0</v>
      </c>
      <c r="J144" s="24">
        <f>SUMIFS('Aug-24 CREDIT MIS'!V:V,'Aug-24 CREDIT MIS'!S:S,"Sanction",'Aug-24 CREDIT MIS'!E:E,'Aug Dashboard.'!B144,'Aug-24 CREDIT MIS'!I:I,'Aug Dashboard.'!A144,'Aug-24 CREDIT MIS'!N:N,'Aug Dashboard.'!$A$155)/100000+SUMIFS('Aug-24 CREDIT MIS'!V:V,'Aug-24 CREDIT MIS'!S:S,"Disbursed",'Aug-24 CREDIT MIS'!E:E,'Aug Dashboard.'!B144,'Aug-24 CREDIT MIS'!I:I,'Aug Dashboard.'!A144,'Aug-24 CREDIT MIS'!N:N,'Aug Dashboard.'!$A$155)/100000</f>
        <v>0</v>
      </c>
      <c r="K144" s="24">
        <f>COUNTIFS('Aug-24 CREDIT MIS'!S:S,"Reject",'Aug-24 CREDIT MIS'!E:E,'Aug Dashboard.'!B144,'Aug-24 CREDIT MIS'!I:I,'Aug Dashboard.'!A144,'Aug-24 CREDIT MIS'!N:N,'Aug Dashboard.'!$A$155)</f>
        <v>0</v>
      </c>
      <c r="L144" s="24">
        <f>SUMIFS('Aug-24 CREDIT MIS'!T:T,'Aug-24 CREDIT MIS'!S:S,"Reject",'Aug-24 CREDIT MIS'!E:E,'Aug Dashboard.'!B144,'Aug-24 CREDIT MIS'!I:I,'Aug Dashboard.'!A144,'Aug-24 CREDIT MIS'!N:N,'Aug Dashboard.'!$A$155)/100000</f>
        <v>0</v>
      </c>
      <c r="M144" s="24">
        <f>COUNTIFS('Aug-24 CREDIT MIS'!S:S,"Recommend",'Aug-24 CREDIT MIS'!E:E,'Aug Dashboard.'!B144,'Aug-24 CREDIT MIS'!I:I,'Aug Dashboard.'!A144,'Aug-24 CREDIT MIS'!N:N,'Aug Dashboard.'!$A$155)</f>
        <v>0</v>
      </c>
      <c r="N144" s="24">
        <f>SUMIFS('Aug-24 CREDIT MIS'!T:T,'Aug-24 CREDIT MIS'!S:S,"Recommend",'Aug-24 CREDIT MIS'!E:E,'Aug Dashboard.'!B144,'Aug-24 CREDIT MIS'!I:I,'Aug Dashboard.'!A144,'Aug-24 CREDIT MIS'!N:N,'Aug Dashboard.'!$A$155)/100000</f>
        <v>0</v>
      </c>
      <c r="O144" s="24">
        <f>COUNTIFS('Aug-24 CREDIT MIS'!S:S,"Query- Sales",'Aug-24 CREDIT MIS'!E:E,'Aug Dashboard.'!B144,'Aug-24 CREDIT MIS'!I:I,'Aug Dashboard.'!A144,'Aug-24 CREDIT MIS'!N:N,'Aug Dashboard.'!$A$155)</f>
        <v>0</v>
      </c>
      <c r="P144" s="24">
        <f>SUMIFS('Aug-24 CREDIT MIS'!T:T,'Aug-24 CREDIT MIS'!S:S,"Query- Sales",'Aug-24 CREDIT MIS'!E:E,'Aug Dashboard.'!B144,'Aug-24 CREDIT MIS'!I:I,'Aug Dashboard.'!A144,'Aug-24 CREDIT MIS'!N:N,'Aug Dashboard.'!$A$155)/100000</f>
        <v>0</v>
      </c>
      <c r="Q144" s="24">
        <f>COUNTIFS('Aug-24 CREDIT MIS'!S:S,"WIP- Credit",'Aug-24 CREDIT MIS'!E:E,'Aug Dashboard.'!B144,'Aug-24 CREDIT MIS'!I:I,'Aug Dashboard.'!A144,'Aug-24 CREDIT MIS'!N:N,'Aug Dashboard.'!$A$155)</f>
        <v>0</v>
      </c>
      <c r="R144" s="24">
        <f>SUMIFS('Aug-24 CREDIT MIS'!T:T,'Aug-24 CREDIT MIS'!S:S,"WIP- Credit",'Aug-24 CREDIT MIS'!E:E,'Aug Dashboard.'!B144,'Aug-24 CREDIT MIS'!I:I,'Aug Dashboard.'!A144,'Aug-24 CREDIT MIS'!N:N,'Aug Dashboard.'!$A$155)/100000</f>
        <v>0</v>
      </c>
      <c r="S144" s="24">
        <f>COUNTIFS('Aug-24 CREDIT MIS'!S:S,"Visit Pending",'Aug-24 CREDIT MIS'!E:E,'Aug Dashboard.'!B144,'Aug-24 CREDIT MIS'!I:I,'Aug Dashboard.'!A144,'Aug-24 CREDIT MIS'!N:N,'Aug Dashboard.'!$A$155)</f>
        <v>0</v>
      </c>
      <c r="T144" s="24">
        <f>SUMIFS('Aug-24 CREDIT MIS'!T:T,'Aug-24 CREDIT MIS'!S:S,"Visit Pending",'Aug-24 CREDIT MIS'!E:E,'Aug Dashboard.'!B144,'Aug-24 CREDIT MIS'!I:I,'Aug Dashboard.'!A144,'Aug-24 CREDIT MIS'!N:N,'Aug Dashboard.'!$A$155)/100000</f>
        <v>0</v>
      </c>
    </row>
    <row r="145" spans="1:20" x14ac:dyDescent="0.25">
      <c r="A145" s="30" t="s">
        <v>183</v>
      </c>
      <c r="B145" s="25" t="s">
        <v>182</v>
      </c>
      <c r="C145" s="24">
        <f>COUNTIFS('Aug-24 CREDIT MIS'!C:C,"&lt;01-08-2024",'Aug-24 CREDIT MIS'!E:E,'Aug Dashboard.'!B145,'Aug-24 CREDIT MIS'!I:I,'Aug Dashboard.'!A145,'Aug-24 CREDIT MIS'!N:N,"Sunil Bagoria")</f>
        <v>0</v>
      </c>
      <c r="D145" s="24">
        <f>SUMIFS('Aug-24 CREDIT MIS'!T:T,'Aug-24 CREDIT MIS'!C:C,"&lt;01-08-2024",'Aug-24 CREDIT MIS'!E:E,'Aug Dashboard.'!B145,'Aug-24 CREDIT MIS'!I:I,'Aug Dashboard.'!A145,'Aug-24 CREDIT MIS'!N:N,"Sunil Bagoria")/100000</f>
        <v>0</v>
      </c>
      <c r="E145" s="24">
        <f>COUNTIFS('Aug-24 CREDIT MIS'!C:C,"&gt;=01-08-2024",'Aug-24 CREDIT MIS'!E:E,'Aug Dashboard.'!B145,'Aug-24 CREDIT MIS'!I:I,'Aug Dashboard.'!A145,'Aug-24 CREDIT MIS'!N:N,"Sunil Bagoria")</f>
        <v>0</v>
      </c>
      <c r="F145" s="24">
        <f>SUMIFS('Aug-24 CREDIT MIS'!T:T,'Aug-24 CREDIT MIS'!C:C,"&gt;=01-08-2024",'Aug-24 CREDIT MIS'!E:E,'Aug Dashboard.'!B145,'Aug-24 CREDIT MIS'!I:I,'Aug Dashboard.'!A145,'Aug-24 CREDIT MIS'!N:N,"Sunil Bagoria")/100000</f>
        <v>0</v>
      </c>
      <c r="G145" s="24">
        <f t="shared" si="48"/>
        <v>0</v>
      </c>
      <c r="H145" s="24">
        <f t="shared" si="49"/>
        <v>0</v>
      </c>
      <c r="I145" s="24">
        <f>COUNTIFS('Aug-24 CREDIT MIS'!S:S,"Sanction",'Aug-24 CREDIT MIS'!E:E,'Aug Dashboard.'!B145,'Aug-24 CREDIT MIS'!I:I,'Aug Dashboard.'!A145,'Aug-24 CREDIT MIS'!N:N,'Aug Dashboard.'!$A$155)+COUNTIFS('Aug-24 CREDIT MIS'!S:S,"Disbursed",'Aug-24 CREDIT MIS'!E:E,'Aug Dashboard.'!B145,'Aug-24 CREDIT MIS'!I:I,'Aug Dashboard.'!A145,'Aug-24 CREDIT MIS'!N:N,'Aug Dashboard.'!$A$155)</f>
        <v>0</v>
      </c>
      <c r="J145" s="24">
        <f>SUMIFS('Aug-24 CREDIT MIS'!V:V,'Aug-24 CREDIT MIS'!S:S,"Sanction",'Aug-24 CREDIT MIS'!E:E,'Aug Dashboard.'!B145,'Aug-24 CREDIT MIS'!I:I,'Aug Dashboard.'!A145,'Aug-24 CREDIT MIS'!N:N,'Aug Dashboard.'!$A$155)/100000+SUMIFS('Aug-24 CREDIT MIS'!V:V,'Aug-24 CREDIT MIS'!S:S,"Disbursed",'Aug-24 CREDIT MIS'!E:E,'Aug Dashboard.'!B145,'Aug-24 CREDIT MIS'!I:I,'Aug Dashboard.'!A145,'Aug-24 CREDIT MIS'!N:N,'Aug Dashboard.'!$A$155)/100000</f>
        <v>0</v>
      </c>
      <c r="K145" s="24">
        <f>COUNTIFS('Aug-24 CREDIT MIS'!S:S,"Reject",'Aug-24 CREDIT MIS'!E:E,'Aug Dashboard.'!B145,'Aug-24 CREDIT MIS'!I:I,'Aug Dashboard.'!A145,'Aug-24 CREDIT MIS'!N:N,'Aug Dashboard.'!$A$155)</f>
        <v>0</v>
      </c>
      <c r="L145" s="24">
        <f>SUMIFS('Aug-24 CREDIT MIS'!T:T,'Aug-24 CREDIT MIS'!S:S,"Reject",'Aug-24 CREDIT MIS'!E:E,'Aug Dashboard.'!B145,'Aug-24 CREDIT MIS'!I:I,'Aug Dashboard.'!A145,'Aug-24 CREDIT MIS'!N:N,'Aug Dashboard.'!$A$155)/100000</f>
        <v>0</v>
      </c>
      <c r="M145" s="24">
        <f>COUNTIFS('Aug-24 CREDIT MIS'!S:S,"Recommend",'Aug-24 CREDIT MIS'!E:E,'Aug Dashboard.'!B145,'Aug-24 CREDIT MIS'!I:I,'Aug Dashboard.'!A145,'Aug-24 CREDIT MIS'!N:N,'Aug Dashboard.'!$A$155)</f>
        <v>0</v>
      </c>
      <c r="N145" s="24">
        <f>SUMIFS('Aug-24 CREDIT MIS'!T:T,'Aug-24 CREDIT MIS'!S:S,"Recommend",'Aug-24 CREDIT MIS'!E:E,'Aug Dashboard.'!B145,'Aug-24 CREDIT MIS'!I:I,'Aug Dashboard.'!A145,'Aug-24 CREDIT MIS'!N:N,'Aug Dashboard.'!$A$155)/100000</f>
        <v>0</v>
      </c>
      <c r="O145" s="24">
        <f>COUNTIFS('Aug-24 CREDIT MIS'!S:S,"Query- Sales",'Aug-24 CREDIT MIS'!E:E,'Aug Dashboard.'!B145,'Aug-24 CREDIT MIS'!I:I,'Aug Dashboard.'!A145,'Aug-24 CREDIT MIS'!N:N,'Aug Dashboard.'!$A$155)</f>
        <v>0</v>
      </c>
      <c r="P145" s="24">
        <f>SUMIFS('Aug-24 CREDIT MIS'!T:T,'Aug-24 CREDIT MIS'!S:S,"Query- Sales",'Aug-24 CREDIT MIS'!E:E,'Aug Dashboard.'!B145,'Aug-24 CREDIT MIS'!I:I,'Aug Dashboard.'!A145,'Aug-24 CREDIT MIS'!N:N,'Aug Dashboard.'!$A$155)/100000</f>
        <v>0</v>
      </c>
      <c r="Q145" s="24">
        <f>COUNTIFS('Aug-24 CREDIT MIS'!S:S,"WIP- Credit",'Aug-24 CREDIT MIS'!E:E,'Aug Dashboard.'!B145,'Aug-24 CREDIT MIS'!I:I,'Aug Dashboard.'!A145,'Aug-24 CREDIT MIS'!N:N,'Aug Dashboard.'!$A$155)</f>
        <v>0</v>
      </c>
      <c r="R145" s="24">
        <f>SUMIFS('Aug-24 CREDIT MIS'!T:T,'Aug-24 CREDIT MIS'!S:S,"WIP- Credit",'Aug-24 CREDIT MIS'!E:E,'Aug Dashboard.'!B145,'Aug-24 CREDIT MIS'!I:I,'Aug Dashboard.'!A145,'Aug-24 CREDIT MIS'!N:N,'Aug Dashboard.'!$A$155)/100000</f>
        <v>0</v>
      </c>
      <c r="S145" s="24">
        <f>COUNTIFS('Aug-24 CREDIT MIS'!S:S,"Visit Pending",'Aug-24 CREDIT MIS'!E:E,'Aug Dashboard.'!B145,'Aug-24 CREDIT MIS'!I:I,'Aug Dashboard.'!A145,'Aug-24 CREDIT MIS'!N:N,'Aug Dashboard.'!$A$155)</f>
        <v>0</v>
      </c>
      <c r="T145" s="24">
        <f>SUMIFS('Aug-24 CREDIT MIS'!T:T,'Aug-24 CREDIT MIS'!S:S,"Visit Pending",'Aug-24 CREDIT MIS'!E:E,'Aug Dashboard.'!B145,'Aug-24 CREDIT MIS'!I:I,'Aug Dashboard.'!A145,'Aug-24 CREDIT MIS'!N:N,'Aug Dashboard.'!$A$155)/100000</f>
        <v>0</v>
      </c>
    </row>
    <row r="146" spans="1:20" x14ac:dyDescent="0.25">
      <c r="A146" s="58" t="s">
        <v>181</v>
      </c>
      <c r="B146" s="25" t="s">
        <v>5</v>
      </c>
      <c r="C146" s="24">
        <f>COUNTIFS('Aug-24 CREDIT MIS'!C:C,"&lt;01-08-2024",'Aug-24 CREDIT MIS'!E:E,'Aug Dashboard.'!B146,'Aug-24 CREDIT MIS'!I:I,'Aug Dashboard.'!A146,'Aug-24 CREDIT MIS'!N:N,"Sunil Bagoria")</f>
        <v>0</v>
      </c>
      <c r="D146" s="24">
        <f>SUMIFS('Aug-24 CREDIT MIS'!T:T,'Aug-24 CREDIT MIS'!C:C,"&lt;01-08-2024",'Aug-24 CREDIT MIS'!E:E,'Aug Dashboard.'!B146,'Aug-24 CREDIT MIS'!I:I,'Aug Dashboard.'!A146,'Aug-24 CREDIT MIS'!N:N,"Sunil Bagoria")/100000</f>
        <v>0</v>
      </c>
      <c r="E146" s="24">
        <f>COUNTIFS('Aug-24 CREDIT MIS'!C:C,"&gt;=01-08-2024",'Aug-24 CREDIT MIS'!E:E,'Aug Dashboard.'!B146,'Aug-24 CREDIT MIS'!I:I,'Aug Dashboard.'!A146,'Aug-24 CREDIT MIS'!N:N,"Sunil Bagoria")</f>
        <v>0</v>
      </c>
      <c r="F146" s="24">
        <f>SUMIFS('Aug-24 CREDIT MIS'!T:T,'Aug-24 CREDIT MIS'!C:C,"&gt;=01-08-2024",'Aug-24 CREDIT MIS'!E:E,'Aug Dashboard.'!B146,'Aug-24 CREDIT MIS'!I:I,'Aug Dashboard.'!A146,'Aug-24 CREDIT MIS'!N:N,"Sunil Bagoria")/100000</f>
        <v>0</v>
      </c>
      <c r="G146" s="24">
        <f t="shared" si="48"/>
        <v>0</v>
      </c>
      <c r="H146" s="24">
        <f t="shared" si="49"/>
        <v>0</v>
      </c>
      <c r="I146" s="24">
        <f>COUNTIFS('Aug-24 CREDIT MIS'!S:S,"Sanction",'Aug-24 CREDIT MIS'!E:E,'Aug Dashboard.'!B146,'Aug-24 CREDIT MIS'!I:I,'Aug Dashboard.'!A146,'Aug-24 CREDIT MIS'!N:N,'Aug Dashboard.'!$A$155)+COUNTIFS('Aug-24 CREDIT MIS'!S:S,"Disbursed",'Aug-24 CREDIT MIS'!E:E,'Aug Dashboard.'!B146,'Aug-24 CREDIT MIS'!I:I,'Aug Dashboard.'!A146,'Aug-24 CREDIT MIS'!N:N,'Aug Dashboard.'!$A$155)</f>
        <v>0</v>
      </c>
      <c r="J146" s="24">
        <f>SUMIFS('Aug-24 CREDIT MIS'!V:V,'Aug-24 CREDIT MIS'!S:S,"Sanction",'Aug-24 CREDIT MIS'!E:E,'Aug Dashboard.'!B146,'Aug-24 CREDIT MIS'!I:I,'Aug Dashboard.'!A146,'Aug-24 CREDIT MIS'!N:N,'Aug Dashboard.'!$A$155)/100000+SUMIFS('Aug-24 CREDIT MIS'!V:V,'Aug-24 CREDIT MIS'!S:S,"Disbursed",'Aug-24 CREDIT MIS'!E:E,'Aug Dashboard.'!B146,'Aug-24 CREDIT MIS'!I:I,'Aug Dashboard.'!A146,'Aug-24 CREDIT MIS'!N:N,'Aug Dashboard.'!$A$155)/100000</f>
        <v>0</v>
      </c>
      <c r="K146" s="24">
        <f>COUNTIFS('Aug-24 CREDIT MIS'!S:S,"Reject",'Aug-24 CREDIT MIS'!E:E,'Aug Dashboard.'!B146,'Aug-24 CREDIT MIS'!I:I,'Aug Dashboard.'!A146,'Aug-24 CREDIT MIS'!N:N,'Aug Dashboard.'!$A$155)</f>
        <v>0</v>
      </c>
      <c r="L146" s="24">
        <f>SUMIFS('Aug-24 CREDIT MIS'!T:T,'Aug-24 CREDIT MIS'!S:S,"Reject",'Aug-24 CREDIT MIS'!E:E,'Aug Dashboard.'!B146,'Aug-24 CREDIT MIS'!I:I,'Aug Dashboard.'!A146,'Aug-24 CREDIT MIS'!N:N,'Aug Dashboard.'!$A$155)/100000</f>
        <v>0</v>
      </c>
      <c r="M146" s="24">
        <f>COUNTIFS('Aug-24 CREDIT MIS'!S:S,"Recommend",'Aug-24 CREDIT MIS'!E:E,'Aug Dashboard.'!B146,'Aug-24 CREDIT MIS'!I:I,'Aug Dashboard.'!A146,'Aug-24 CREDIT MIS'!N:N,'Aug Dashboard.'!$A$155)</f>
        <v>0</v>
      </c>
      <c r="N146" s="24">
        <f>SUMIFS('Aug-24 CREDIT MIS'!T:T,'Aug-24 CREDIT MIS'!S:S,"Recommend",'Aug-24 CREDIT MIS'!E:E,'Aug Dashboard.'!B146,'Aug-24 CREDIT MIS'!I:I,'Aug Dashboard.'!A146,'Aug-24 CREDIT MIS'!N:N,'Aug Dashboard.'!$A$155)/100000</f>
        <v>0</v>
      </c>
      <c r="O146" s="24">
        <f>COUNTIFS('Aug-24 CREDIT MIS'!S:S,"Query- Sales",'Aug-24 CREDIT MIS'!E:E,'Aug Dashboard.'!B146,'Aug-24 CREDIT MIS'!I:I,'Aug Dashboard.'!A146,'Aug-24 CREDIT MIS'!N:N,'Aug Dashboard.'!$A$155)</f>
        <v>0</v>
      </c>
      <c r="P146" s="24">
        <f>SUMIFS('Aug-24 CREDIT MIS'!T:T,'Aug-24 CREDIT MIS'!S:S,"Query- Sales",'Aug-24 CREDIT MIS'!E:E,'Aug Dashboard.'!B146,'Aug-24 CREDIT MIS'!I:I,'Aug Dashboard.'!A146,'Aug-24 CREDIT MIS'!N:N,'Aug Dashboard.'!$A$155)/100000</f>
        <v>0</v>
      </c>
      <c r="Q146" s="24">
        <f>COUNTIFS('Aug-24 CREDIT MIS'!S:S,"WIP- Credit",'Aug-24 CREDIT MIS'!E:E,'Aug Dashboard.'!B146,'Aug-24 CREDIT MIS'!I:I,'Aug Dashboard.'!A146,'Aug-24 CREDIT MIS'!N:N,'Aug Dashboard.'!$A$155)</f>
        <v>0</v>
      </c>
      <c r="R146" s="24">
        <f>SUMIFS('Aug-24 CREDIT MIS'!T:T,'Aug-24 CREDIT MIS'!S:S,"WIP- Credit",'Aug-24 CREDIT MIS'!E:E,'Aug Dashboard.'!B146,'Aug-24 CREDIT MIS'!I:I,'Aug Dashboard.'!A146,'Aug-24 CREDIT MIS'!N:N,'Aug Dashboard.'!$A$155)/100000</f>
        <v>0</v>
      </c>
      <c r="S146" s="24">
        <f>COUNTIFS('Aug-24 CREDIT MIS'!S:S,"Visit Pending",'Aug-24 CREDIT MIS'!E:E,'Aug Dashboard.'!B146,'Aug-24 CREDIT MIS'!I:I,'Aug Dashboard.'!A146,'Aug-24 CREDIT MIS'!N:N,'Aug Dashboard.'!$A$155)</f>
        <v>0</v>
      </c>
      <c r="T146" s="24">
        <f>SUMIFS('Aug-24 CREDIT MIS'!T:T,'Aug-24 CREDIT MIS'!S:S,"Visit Pending",'Aug-24 CREDIT MIS'!E:E,'Aug Dashboard.'!B146,'Aug-24 CREDIT MIS'!I:I,'Aug Dashboard.'!A146,'Aug-24 CREDIT MIS'!N:N,'Aug Dashboard.'!$A$155)/100000</f>
        <v>0</v>
      </c>
    </row>
    <row r="147" spans="1:20" x14ac:dyDescent="0.25">
      <c r="A147" s="30" t="s">
        <v>180</v>
      </c>
      <c r="B147" s="25" t="s">
        <v>59</v>
      </c>
      <c r="C147" s="24">
        <f>COUNTIFS('Aug-24 CREDIT MIS'!C:C,"&lt;01-08-2024",'Aug-24 CREDIT MIS'!E:E,'Aug Dashboard.'!B147,'Aug-24 CREDIT MIS'!I:I,'Aug Dashboard.'!A147,'Aug-24 CREDIT MIS'!N:N,"Sunil Bagoria")</f>
        <v>0</v>
      </c>
      <c r="D147" s="24">
        <f>SUMIFS('Aug-24 CREDIT MIS'!T:T,'Aug-24 CREDIT MIS'!C:C,"&lt;01-08-2024",'Aug-24 CREDIT MIS'!E:E,'Aug Dashboard.'!B147,'Aug-24 CREDIT MIS'!I:I,'Aug Dashboard.'!A147,'Aug-24 CREDIT MIS'!N:N,"Sunil Bagoria")/100000</f>
        <v>0</v>
      </c>
      <c r="E147" s="24">
        <f>COUNTIFS('Aug-24 CREDIT MIS'!C:C,"&gt;=01-08-2024",'Aug-24 CREDIT MIS'!E:E,'Aug Dashboard.'!B147,'Aug-24 CREDIT MIS'!I:I,'Aug Dashboard.'!A147,'Aug-24 CREDIT MIS'!N:N,"Sunil Bagoria")</f>
        <v>0</v>
      </c>
      <c r="F147" s="24">
        <f>SUMIFS('Aug-24 CREDIT MIS'!T:T,'Aug-24 CREDIT MIS'!C:C,"&gt;=01-08-2024",'Aug-24 CREDIT MIS'!E:E,'Aug Dashboard.'!B147,'Aug-24 CREDIT MIS'!I:I,'Aug Dashboard.'!A147,'Aug-24 CREDIT MIS'!N:N,"Sunil Bagoria")/100000</f>
        <v>0</v>
      </c>
      <c r="G147" s="24">
        <f t="shared" si="48"/>
        <v>0</v>
      </c>
      <c r="H147" s="24">
        <f t="shared" si="49"/>
        <v>0</v>
      </c>
      <c r="I147" s="24">
        <f>COUNTIFS('Aug-24 CREDIT MIS'!S:S,"Sanction",'Aug-24 CREDIT MIS'!E:E,'Aug Dashboard.'!B147,'Aug-24 CREDIT MIS'!I:I,'Aug Dashboard.'!A147,'Aug-24 CREDIT MIS'!N:N,'Aug Dashboard.'!$A$155)+COUNTIFS('Aug-24 CREDIT MIS'!S:S,"Disbursed",'Aug-24 CREDIT MIS'!E:E,'Aug Dashboard.'!B147,'Aug-24 CREDIT MIS'!I:I,'Aug Dashboard.'!A147,'Aug-24 CREDIT MIS'!N:N,'Aug Dashboard.'!$A$155)</f>
        <v>0</v>
      </c>
      <c r="J147" s="24">
        <f>SUMIFS('Aug-24 CREDIT MIS'!V:V,'Aug-24 CREDIT MIS'!S:S,"Sanction",'Aug-24 CREDIT MIS'!E:E,'Aug Dashboard.'!B147,'Aug-24 CREDIT MIS'!I:I,'Aug Dashboard.'!A147,'Aug-24 CREDIT MIS'!N:N,'Aug Dashboard.'!$A$155)/100000+SUMIFS('Aug-24 CREDIT MIS'!V:V,'Aug-24 CREDIT MIS'!S:S,"Disbursed",'Aug-24 CREDIT MIS'!E:E,'Aug Dashboard.'!B147,'Aug-24 CREDIT MIS'!I:I,'Aug Dashboard.'!A147,'Aug-24 CREDIT MIS'!N:N,'Aug Dashboard.'!$A$155)/100000</f>
        <v>0</v>
      </c>
      <c r="K147" s="24">
        <f>COUNTIFS('Aug-24 CREDIT MIS'!S:S,"Reject",'Aug-24 CREDIT MIS'!E:E,'Aug Dashboard.'!B147,'Aug-24 CREDIT MIS'!I:I,'Aug Dashboard.'!A147,'Aug-24 CREDIT MIS'!N:N,'Aug Dashboard.'!$A$155)</f>
        <v>0</v>
      </c>
      <c r="L147" s="24">
        <f>SUMIFS('Aug-24 CREDIT MIS'!T:T,'Aug-24 CREDIT MIS'!S:S,"Reject",'Aug-24 CREDIT MIS'!E:E,'Aug Dashboard.'!B147,'Aug-24 CREDIT MIS'!I:I,'Aug Dashboard.'!A147,'Aug-24 CREDIT MIS'!N:N,'Aug Dashboard.'!$A$155)/100000</f>
        <v>0</v>
      </c>
      <c r="M147" s="24">
        <f>COUNTIFS('Aug-24 CREDIT MIS'!S:S,"Recommend",'Aug-24 CREDIT MIS'!E:E,'Aug Dashboard.'!B147,'Aug-24 CREDIT MIS'!I:I,'Aug Dashboard.'!A147,'Aug-24 CREDIT MIS'!N:N,'Aug Dashboard.'!$A$155)</f>
        <v>0</v>
      </c>
      <c r="N147" s="24">
        <f>SUMIFS('Aug-24 CREDIT MIS'!T:T,'Aug-24 CREDIT MIS'!S:S,"Recommend",'Aug-24 CREDIT MIS'!E:E,'Aug Dashboard.'!B147,'Aug-24 CREDIT MIS'!I:I,'Aug Dashboard.'!A147,'Aug-24 CREDIT MIS'!N:N,'Aug Dashboard.'!$A$155)/100000</f>
        <v>0</v>
      </c>
      <c r="O147" s="24">
        <f>COUNTIFS('Aug-24 CREDIT MIS'!S:S,"Query- Sales",'Aug-24 CREDIT MIS'!E:E,'Aug Dashboard.'!B147,'Aug-24 CREDIT MIS'!I:I,'Aug Dashboard.'!A147,'Aug-24 CREDIT MIS'!N:N,'Aug Dashboard.'!$A$155)</f>
        <v>0</v>
      </c>
      <c r="P147" s="24">
        <f>SUMIFS('Aug-24 CREDIT MIS'!T:T,'Aug-24 CREDIT MIS'!S:S,"Query- Sales",'Aug-24 CREDIT MIS'!E:E,'Aug Dashboard.'!B147,'Aug-24 CREDIT MIS'!I:I,'Aug Dashboard.'!A147,'Aug-24 CREDIT MIS'!N:N,'Aug Dashboard.'!$A$155)/100000</f>
        <v>0</v>
      </c>
      <c r="Q147" s="24">
        <f>COUNTIFS('Aug-24 CREDIT MIS'!S:S,"WIP- Credit",'Aug-24 CREDIT MIS'!E:E,'Aug Dashboard.'!B147,'Aug-24 CREDIT MIS'!I:I,'Aug Dashboard.'!A147,'Aug-24 CREDIT MIS'!N:N,'Aug Dashboard.'!$A$155)</f>
        <v>0</v>
      </c>
      <c r="R147" s="24">
        <f>SUMIFS('Aug-24 CREDIT MIS'!T:T,'Aug-24 CREDIT MIS'!S:S,"WIP- Credit",'Aug-24 CREDIT MIS'!E:E,'Aug Dashboard.'!B147,'Aug-24 CREDIT MIS'!I:I,'Aug Dashboard.'!A147,'Aug-24 CREDIT MIS'!N:N,'Aug Dashboard.'!$A$155)/100000</f>
        <v>0</v>
      </c>
      <c r="S147" s="24">
        <f>COUNTIFS('Aug-24 CREDIT MIS'!S:S,"Visit Pending",'Aug-24 CREDIT MIS'!E:E,'Aug Dashboard.'!B147,'Aug-24 CREDIT MIS'!I:I,'Aug Dashboard.'!A147,'Aug-24 CREDIT MIS'!N:N,'Aug Dashboard.'!$A$155)</f>
        <v>0</v>
      </c>
      <c r="T147" s="24">
        <f>SUMIFS('Aug-24 CREDIT MIS'!T:T,'Aug-24 CREDIT MIS'!S:S,"Visit Pending",'Aug-24 CREDIT MIS'!E:E,'Aug Dashboard.'!B147,'Aug-24 CREDIT MIS'!I:I,'Aug Dashboard.'!A147,'Aug-24 CREDIT MIS'!N:N,'Aug Dashboard.'!$A$155)/100000</f>
        <v>0</v>
      </c>
    </row>
    <row r="148" spans="1:20" x14ac:dyDescent="0.25">
      <c r="A148" s="30" t="s">
        <v>179</v>
      </c>
      <c r="B148" s="25" t="s">
        <v>178</v>
      </c>
      <c r="C148" s="24">
        <f>COUNTIFS('Aug-24 CREDIT MIS'!C:C,"&lt;01-08-2024",'Aug-24 CREDIT MIS'!E:E,'Aug Dashboard.'!B148,'Aug-24 CREDIT MIS'!I:I,'Aug Dashboard.'!A148,'Aug-24 CREDIT MIS'!N:N,"Sunil Bagoria")</f>
        <v>1</v>
      </c>
      <c r="D148" s="24">
        <f>SUMIFS('Aug-24 CREDIT MIS'!T:T,'Aug-24 CREDIT MIS'!C:C,"&lt;01-08-2024",'Aug-24 CREDIT MIS'!E:E,'Aug Dashboard.'!B148,'Aug-24 CREDIT MIS'!I:I,'Aug Dashboard.'!A148,'Aug-24 CREDIT MIS'!N:N,"Sunil Bagoria")/100000</f>
        <v>8</v>
      </c>
      <c r="E148" s="24">
        <f>COUNTIFS('Aug-24 CREDIT MIS'!C:C,"&gt;=01-08-2024",'Aug-24 CREDIT MIS'!E:E,'Aug Dashboard.'!B148,'Aug-24 CREDIT MIS'!I:I,'Aug Dashboard.'!A148,'Aug-24 CREDIT MIS'!N:N,"Sunil Bagoria")</f>
        <v>3</v>
      </c>
      <c r="F148" s="24">
        <f>SUMIFS('Aug-24 CREDIT MIS'!T:T,'Aug-24 CREDIT MIS'!C:C,"&gt;=01-08-2024",'Aug-24 CREDIT MIS'!E:E,'Aug Dashboard.'!B148,'Aug-24 CREDIT MIS'!I:I,'Aug Dashboard.'!A148,'Aug-24 CREDIT MIS'!N:N,"Sunil Bagoria")/100000</f>
        <v>21</v>
      </c>
      <c r="G148" s="24">
        <f t="shared" si="48"/>
        <v>4</v>
      </c>
      <c r="H148" s="24">
        <f t="shared" si="49"/>
        <v>29</v>
      </c>
      <c r="I148" s="24">
        <f>COUNTIFS('Aug-24 CREDIT MIS'!S:S,"Sanction",'Aug-24 CREDIT MIS'!E:E,'Aug Dashboard.'!B148,'Aug-24 CREDIT MIS'!I:I,'Aug Dashboard.'!A148,'Aug-24 CREDIT MIS'!N:N,'Aug Dashboard.'!$A$155)+COUNTIFS('Aug-24 CREDIT MIS'!S:S,"Disbursed",'Aug-24 CREDIT MIS'!E:E,'Aug Dashboard.'!B148,'Aug-24 CREDIT MIS'!I:I,'Aug Dashboard.'!A148,'Aug-24 CREDIT MIS'!N:N,'Aug Dashboard.'!$A$155)</f>
        <v>1</v>
      </c>
      <c r="J148" s="24">
        <f>SUMIFS('Aug-24 CREDIT MIS'!V:V,'Aug-24 CREDIT MIS'!S:S,"Sanction",'Aug-24 CREDIT MIS'!E:E,'Aug Dashboard.'!B148,'Aug-24 CREDIT MIS'!I:I,'Aug Dashboard.'!A148,'Aug-24 CREDIT MIS'!N:N,'Aug Dashboard.'!$A$155)/100000+SUMIFS('Aug-24 CREDIT MIS'!V:V,'Aug-24 CREDIT MIS'!S:S,"Disbursed",'Aug-24 CREDIT MIS'!E:E,'Aug Dashboard.'!B148,'Aug-24 CREDIT MIS'!I:I,'Aug Dashboard.'!A148,'Aug-24 CREDIT MIS'!N:N,'Aug Dashboard.'!$A$155)/100000</f>
        <v>4</v>
      </c>
      <c r="K148" s="24">
        <f>COUNTIFS('Aug-24 CREDIT MIS'!S:S,"Reject",'Aug-24 CREDIT MIS'!E:E,'Aug Dashboard.'!B148,'Aug-24 CREDIT MIS'!I:I,'Aug Dashboard.'!A148,'Aug-24 CREDIT MIS'!N:N,'Aug Dashboard.'!$A$155)</f>
        <v>1</v>
      </c>
      <c r="L148" s="24">
        <f>SUMIFS('Aug-24 CREDIT MIS'!T:T,'Aug-24 CREDIT MIS'!S:S,"Reject",'Aug-24 CREDIT MIS'!E:E,'Aug Dashboard.'!B148,'Aug-24 CREDIT MIS'!I:I,'Aug Dashboard.'!A148,'Aug-24 CREDIT MIS'!N:N,'Aug Dashboard.'!$A$155)/100000</f>
        <v>7</v>
      </c>
      <c r="M148" s="24">
        <f>COUNTIFS('Aug-24 CREDIT MIS'!S:S,"Recommend",'Aug-24 CREDIT MIS'!E:E,'Aug Dashboard.'!B148,'Aug-24 CREDIT MIS'!I:I,'Aug Dashboard.'!A148,'Aug-24 CREDIT MIS'!N:N,'Aug Dashboard.'!$A$155)</f>
        <v>0</v>
      </c>
      <c r="N148" s="24">
        <f>SUMIFS('Aug-24 CREDIT MIS'!T:T,'Aug-24 CREDIT MIS'!S:S,"Recommend",'Aug-24 CREDIT MIS'!E:E,'Aug Dashboard.'!B148,'Aug-24 CREDIT MIS'!I:I,'Aug Dashboard.'!A148,'Aug-24 CREDIT MIS'!N:N,'Aug Dashboard.'!$A$155)/100000</f>
        <v>0</v>
      </c>
      <c r="O148" s="24">
        <f>COUNTIFS('Aug-24 CREDIT MIS'!S:S,"Query- Sales",'Aug-24 CREDIT MIS'!E:E,'Aug Dashboard.'!B148,'Aug-24 CREDIT MIS'!I:I,'Aug Dashboard.'!A148,'Aug-24 CREDIT MIS'!N:N,'Aug Dashboard.'!$A$155)</f>
        <v>2</v>
      </c>
      <c r="P148" s="24">
        <f>SUMIFS('Aug-24 CREDIT MIS'!T:T,'Aug-24 CREDIT MIS'!S:S,"Query- Sales",'Aug-24 CREDIT MIS'!E:E,'Aug Dashboard.'!B148,'Aug-24 CREDIT MIS'!I:I,'Aug Dashboard.'!A148,'Aug-24 CREDIT MIS'!N:N,'Aug Dashboard.'!$A$155)/100000</f>
        <v>14</v>
      </c>
      <c r="Q148" s="24">
        <f>COUNTIFS('Aug-24 CREDIT MIS'!S:S,"WIP- Credit",'Aug-24 CREDIT MIS'!E:E,'Aug Dashboard.'!B148,'Aug-24 CREDIT MIS'!I:I,'Aug Dashboard.'!A148,'Aug-24 CREDIT MIS'!N:N,'Aug Dashboard.'!$A$155)</f>
        <v>0</v>
      </c>
      <c r="R148" s="24">
        <f>SUMIFS('Aug-24 CREDIT MIS'!T:T,'Aug-24 CREDIT MIS'!S:S,"WIP- Credit",'Aug-24 CREDIT MIS'!E:E,'Aug Dashboard.'!B148,'Aug-24 CREDIT MIS'!I:I,'Aug Dashboard.'!A148,'Aug-24 CREDIT MIS'!N:N,'Aug Dashboard.'!$A$155)/100000</f>
        <v>0</v>
      </c>
      <c r="S148" s="24">
        <f>COUNTIFS('Aug-24 CREDIT MIS'!S:S,"Visit Pending",'Aug-24 CREDIT MIS'!E:E,'Aug Dashboard.'!B148,'Aug-24 CREDIT MIS'!I:I,'Aug Dashboard.'!A148,'Aug-24 CREDIT MIS'!N:N,'Aug Dashboard.'!$A$155)</f>
        <v>0</v>
      </c>
      <c r="T148" s="24">
        <f>SUMIFS('Aug-24 CREDIT MIS'!T:T,'Aug-24 CREDIT MIS'!S:S,"Visit Pending",'Aug-24 CREDIT MIS'!E:E,'Aug Dashboard.'!B148,'Aug-24 CREDIT MIS'!I:I,'Aug Dashboard.'!A148,'Aug-24 CREDIT MIS'!N:N,'Aug Dashboard.'!$A$155)/100000</f>
        <v>0</v>
      </c>
    </row>
    <row r="149" spans="1:20" x14ac:dyDescent="0.25">
      <c r="A149" s="26" t="s">
        <v>177</v>
      </c>
      <c r="B149" s="25" t="s">
        <v>24</v>
      </c>
      <c r="C149" s="24">
        <f>COUNTIFS('Aug-24 CREDIT MIS'!C:C,"&lt;01-08-2024",'Aug-24 CREDIT MIS'!E:E,'Aug Dashboard.'!B149,'Aug-24 CREDIT MIS'!I:I,'Aug Dashboard.'!A149,'Aug-24 CREDIT MIS'!N:N,"Sunil Bagoria")</f>
        <v>0</v>
      </c>
      <c r="D149" s="24">
        <f>SUMIFS('Aug-24 CREDIT MIS'!T:T,'Aug-24 CREDIT MIS'!C:C,"&lt;01-08-2024",'Aug-24 CREDIT MIS'!E:E,'Aug Dashboard.'!B149,'Aug-24 CREDIT MIS'!I:I,'Aug Dashboard.'!A149,'Aug-24 CREDIT MIS'!N:N,"Sunil Bagoria")/100000</f>
        <v>0</v>
      </c>
      <c r="E149" s="24">
        <f>COUNTIFS('Aug-24 CREDIT MIS'!C:C,"&gt;=01-08-2024",'Aug-24 CREDIT MIS'!E:E,'Aug Dashboard.'!B149,'Aug-24 CREDIT MIS'!I:I,'Aug Dashboard.'!A149,'Aug-24 CREDIT MIS'!N:N,"Sunil Bagoria")</f>
        <v>0</v>
      </c>
      <c r="F149" s="24">
        <f>SUMIFS('Aug-24 CREDIT MIS'!T:T,'Aug-24 CREDIT MIS'!C:C,"&gt;=01-08-2024",'Aug-24 CREDIT MIS'!E:E,'Aug Dashboard.'!B149,'Aug-24 CREDIT MIS'!I:I,'Aug Dashboard.'!A149,'Aug-24 CREDIT MIS'!N:N,"Sunil Bagoria")/100000</f>
        <v>0</v>
      </c>
      <c r="G149" s="24">
        <f t="shared" si="48"/>
        <v>0</v>
      </c>
      <c r="H149" s="24">
        <f t="shared" si="49"/>
        <v>0</v>
      </c>
      <c r="I149" s="24">
        <f>COUNTIFS('Aug-24 CREDIT MIS'!S:S,"Sanction",'Aug-24 CREDIT MIS'!E:E,'Aug Dashboard.'!B149,'Aug-24 CREDIT MIS'!I:I,'Aug Dashboard.'!A149,'Aug-24 CREDIT MIS'!N:N,'Aug Dashboard.'!$A$155)+COUNTIFS('Aug-24 CREDIT MIS'!S:S,"Disbursed",'Aug-24 CREDIT MIS'!E:E,'Aug Dashboard.'!B149,'Aug-24 CREDIT MIS'!I:I,'Aug Dashboard.'!A149,'Aug-24 CREDIT MIS'!N:N,'Aug Dashboard.'!$A$155)</f>
        <v>0</v>
      </c>
      <c r="J149" s="24">
        <f>SUMIFS('Aug-24 CREDIT MIS'!V:V,'Aug-24 CREDIT MIS'!S:S,"Sanction",'Aug-24 CREDIT MIS'!E:E,'Aug Dashboard.'!B149,'Aug-24 CREDIT MIS'!I:I,'Aug Dashboard.'!A149,'Aug-24 CREDIT MIS'!N:N,'Aug Dashboard.'!$A$155)/100000+SUMIFS('Aug-24 CREDIT MIS'!V:V,'Aug-24 CREDIT MIS'!S:S,"Disbursed",'Aug-24 CREDIT MIS'!E:E,'Aug Dashboard.'!B149,'Aug-24 CREDIT MIS'!I:I,'Aug Dashboard.'!A149,'Aug-24 CREDIT MIS'!N:N,'Aug Dashboard.'!$A$155)/100000</f>
        <v>0</v>
      </c>
      <c r="K149" s="24">
        <f>COUNTIFS('Aug-24 CREDIT MIS'!S:S,"Reject",'Aug-24 CREDIT MIS'!E:E,'Aug Dashboard.'!B149,'Aug-24 CREDIT MIS'!I:I,'Aug Dashboard.'!A149,'Aug-24 CREDIT MIS'!N:N,'Aug Dashboard.'!$A$155)</f>
        <v>0</v>
      </c>
      <c r="L149" s="24">
        <f>SUMIFS('Aug-24 CREDIT MIS'!T:T,'Aug-24 CREDIT MIS'!S:S,"Reject",'Aug-24 CREDIT MIS'!E:E,'Aug Dashboard.'!B149,'Aug-24 CREDIT MIS'!I:I,'Aug Dashboard.'!A149,'Aug-24 CREDIT MIS'!N:N,'Aug Dashboard.'!$A$155)/100000</f>
        <v>0</v>
      </c>
      <c r="M149" s="24">
        <f>COUNTIFS('Aug-24 CREDIT MIS'!S:S,"Recommend",'Aug-24 CREDIT MIS'!E:E,'Aug Dashboard.'!B149,'Aug-24 CREDIT MIS'!I:I,'Aug Dashboard.'!A149,'Aug-24 CREDIT MIS'!N:N,'Aug Dashboard.'!$A$155)</f>
        <v>0</v>
      </c>
      <c r="N149" s="24">
        <f>SUMIFS('Aug-24 CREDIT MIS'!T:T,'Aug-24 CREDIT MIS'!S:S,"Recommend",'Aug-24 CREDIT MIS'!E:E,'Aug Dashboard.'!B149,'Aug-24 CREDIT MIS'!I:I,'Aug Dashboard.'!A149,'Aug-24 CREDIT MIS'!N:N,'Aug Dashboard.'!$A$155)/100000</f>
        <v>0</v>
      </c>
      <c r="O149" s="24">
        <f>COUNTIFS('Aug-24 CREDIT MIS'!S:S,"Query- Sales",'Aug-24 CREDIT MIS'!E:E,'Aug Dashboard.'!B149,'Aug-24 CREDIT MIS'!I:I,'Aug Dashboard.'!A149,'Aug-24 CREDIT MIS'!N:N,'Aug Dashboard.'!$A$155)</f>
        <v>0</v>
      </c>
      <c r="P149" s="24">
        <f>SUMIFS('Aug-24 CREDIT MIS'!T:T,'Aug-24 CREDIT MIS'!S:S,"Query- Sales",'Aug-24 CREDIT MIS'!E:E,'Aug Dashboard.'!B149,'Aug-24 CREDIT MIS'!I:I,'Aug Dashboard.'!A149,'Aug-24 CREDIT MIS'!N:N,'Aug Dashboard.'!$A$155)/100000</f>
        <v>0</v>
      </c>
      <c r="Q149" s="24">
        <f>COUNTIFS('Aug-24 CREDIT MIS'!S:S,"WIP- Credit",'Aug-24 CREDIT MIS'!E:E,'Aug Dashboard.'!B149,'Aug-24 CREDIT MIS'!I:I,'Aug Dashboard.'!A149,'Aug-24 CREDIT MIS'!N:N,'Aug Dashboard.'!$A$155)</f>
        <v>0</v>
      </c>
      <c r="R149" s="24">
        <f>SUMIFS('Aug-24 CREDIT MIS'!T:T,'Aug-24 CREDIT MIS'!S:S,"WIP- Credit",'Aug-24 CREDIT MIS'!E:E,'Aug Dashboard.'!B149,'Aug-24 CREDIT MIS'!I:I,'Aug Dashboard.'!A149,'Aug-24 CREDIT MIS'!N:N,'Aug Dashboard.'!$A$155)/100000</f>
        <v>0</v>
      </c>
      <c r="S149" s="24">
        <f>COUNTIFS('Aug-24 CREDIT MIS'!S:S,"Visit Pending",'Aug-24 CREDIT MIS'!E:E,'Aug Dashboard.'!B149,'Aug-24 CREDIT MIS'!I:I,'Aug Dashboard.'!A149,'Aug-24 CREDIT MIS'!N:N,'Aug Dashboard.'!$A$155)</f>
        <v>0</v>
      </c>
      <c r="T149" s="24">
        <f>SUMIFS('Aug-24 CREDIT MIS'!T:T,'Aug-24 CREDIT MIS'!S:S,"Visit Pending",'Aug-24 CREDIT MIS'!E:E,'Aug Dashboard.'!B149,'Aug-24 CREDIT MIS'!I:I,'Aug Dashboard.'!A149,'Aug-24 CREDIT MIS'!N:N,'Aug Dashboard.'!$A$155)/100000</f>
        <v>0</v>
      </c>
    </row>
    <row r="150" spans="1:20" x14ac:dyDescent="0.25">
      <c r="A150" t="s">
        <v>176</v>
      </c>
      <c r="B150" s="45" t="s">
        <v>56</v>
      </c>
      <c r="C150" s="24">
        <f>COUNTIFS('Aug-24 CREDIT MIS'!C:C,"&lt;01-08-2024",'Aug-24 CREDIT MIS'!E:E,'Aug Dashboard.'!B150,'Aug-24 CREDIT MIS'!I:I,'Aug Dashboard.'!A150,'Aug-24 CREDIT MIS'!N:N,"Sunil Bagoria")</f>
        <v>0</v>
      </c>
      <c r="D150" s="24">
        <f>SUMIFS('Aug-24 CREDIT MIS'!T:T,'Aug-24 CREDIT MIS'!C:C,"&lt;01-08-2024",'Aug-24 CREDIT MIS'!E:E,'Aug Dashboard.'!B150,'Aug-24 CREDIT MIS'!I:I,'Aug Dashboard.'!A150,'Aug-24 CREDIT MIS'!N:N,"Sunil Bagoria")/100000</f>
        <v>0</v>
      </c>
      <c r="E150" s="24">
        <f>COUNTIFS('Aug-24 CREDIT MIS'!C:C,"&gt;=01-08-2024",'Aug-24 CREDIT MIS'!E:E,'Aug Dashboard.'!B150,'Aug-24 CREDIT MIS'!I:I,'Aug Dashboard.'!A150,'Aug-24 CREDIT MIS'!N:N,"Sunil Bagoria")</f>
        <v>2</v>
      </c>
      <c r="F150" s="24">
        <f>SUMIFS('Aug-24 CREDIT MIS'!T:T,'Aug-24 CREDIT MIS'!C:C,"&gt;=01-08-2024",'Aug-24 CREDIT MIS'!E:E,'Aug Dashboard.'!B150,'Aug-24 CREDIT MIS'!I:I,'Aug Dashboard.'!A150,'Aug-24 CREDIT MIS'!N:N,"Sunil Bagoria")/100000</f>
        <v>15.99</v>
      </c>
      <c r="G150" s="24">
        <f t="shared" si="48"/>
        <v>2</v>
      </c>
      <c r="H150" s="24">
        <f t="shared" si="49"/>
        <v>15.99</v>
      </c>
      <c r="I150" s="24">
        <f>COUNTIFS('Aug-24 CREDIT MIS'!S:S,"Sanction",'Aug-24 CREDIT MIS'!E:E,'Aug Dashboard.'!B150,'Aug-24 CREDIT MIS'!I:I,'Aug Dashboard.'!A150,'Aug-24 CREDIT MIS'!N:N,'Aug Dashboard.'!$A$155)+COUNTIFS('Aug-24 CREDIT MIS'!S:S,"Disbursed",'Aug-24 CREDIT MIS'!E:E,'Aug Dashboard.'!B150,'Aug-24 CREDIT MIS'!I:I,'Aug Dashboard.'!A150,'Aug-24 CREDIT MIS'!N:N,'Aug Dashboard.'!$A$155)</f>
        <v>0</v>
      </c>
      <c r="J150" s="24">
        <f>SUMIFS('Aug-24 CREDIT MIS'!V:V,'Aug-24 CREDIT MIS'!S:S,"Sanction",'Aug-24 CREDIT MIS'!E:E,'Aug Dashboard.'!B150,'Aug-24 CREDIT MIS'!I:I,'Aug Dashboard.'!A150,'Aug-24 CREDIT MIS'!N:N,'Aug Dashboard.'!$A$155)/100000+SUMIFS('Aug-24 CREDIT MIS'!V:V,'Aug-24 CREDIT MIS'!S:S,"Disbursed",'Aug-24 CREDIT MIS'!E:E,'Aug Dashboard.'!B150,'Aug-24 CREDIT MIS'!I:I,'Aug Dashboard.'!A150,'Aug-24 CREDIT MIS'!N:N,'Aug Dashboard.'!$A$155)/100000</f>
        <v>0</v>
      </c>
      <c r="K150" s="24">
        <f>COUNTIFS('Aug-24 CREDIT MIS'!S:S,"Reject",'Aug-24 CREDIT MIS'!E:E,'Aug Dashboard.'!B150,'Aug-24 CREDIT MIS'!I:I,'Aug Dashboard.'!A150,'Aug-24 CREDIT MIS'!N:N,'Aug Dashboard.'!$A$155)</f>
        <v>2</v>
      </c>
      <c r="L150" s="24">
        <f>SUMIFS('Aug-24 CREDIT MIS'!T:T,'Aug-24 CREDIT MIS'!S:S,"Reject",'Aug-24 CREDIT MIS'!E:E,'Aug Dashboard.'!B150,'Aug-24 CREDIT MIS'!I:I,'Aug Dashboard.'!A150,'Aug-24 CREDIT MIS'!N:N,'Aug Dashboard.'!$A$155)/100000</f>
        <v>15.99</v>
      </c>
      <c r="M150" s="24">
        <f>COUNTIFS('Aug-24 CREDIT MIS'!S:S,"Recommend",'Aug-24 CREDIT MIS'!E:E,'Aug Dashboard.'!B150,'Aug-24 CREDIT MIS'!I:I,'Aug Dashboard.'!A150,'Aug-24 CREDIT MIS'!N:N,'Aug Dashboard.'!$A$155)</f>
        <v>0</v>
      </c>
      <c r="N150" s="24">
        <f>SUMIFS('Aug-24 CREDIT MIS'!T:T,'Aug-24 CREDIT MIS'!S:S,"Recommend",'Aug-24 CREDIT MIS'!E:E,'Aug Dashboard.'!B150,'Aug-24 CREDIT MIS'!I:I,'Aug Dashboard.'!A150,'Aug-24 CREDIT MIS'!N:N,'Aug Dashboard.'!$A$155)/100000</f>
        <v>0</v>
      </c>
      <c r="O150" s="24">
        <f>COUNTIFS('Aug-24 CREDIT MIS'!S:S,"Query- Sales",'Aug-24 CREDIT MIS'!E:E,'Aug Dashboard.'!B150,'Aug-24 CREDIT MIS'!I:I,'Aug Dashboard.'!A150,'Aug-24 CREDIT MIS'!N:N,'Aug Dashboard.'!$A$155)</f>
        <v>0</v>
      </c>
      <c r="P150" s="24">
        <f>SUMIFS('Aug-24 CREDIT MIS'!T:T,'Aug-24 CREDIT MIS'!S:S,"Query- Sales",'Aug-24 CREDIT MIS'!E:E,'Aug Dashboard.'!B150,'Aug-24 CREDIT MIS'!I:I,'Aug Dashboard.'!A150,'Aug-24 CREDIT MIS'!N:N,'Aug Dashboard.'!$A$155)/100000</f>
        <v>0</v>
      </c>
      <c r="Q150" s="24">
        <f>COUNTIFS('Aug-24 CREDIT MIS'!S:S,"WIP- Credit",'Aug-24 CREDIT MIS'!E:E,'Aug Dashboard.'!B150,'Aug-24 CREDIT MIS'!I:I,'Aug Dashboard.'!A150,'Aug-24 CREDIT MIS'!N:N,'Aug Dashboard.'!$A$155)</f>
        <v>0</v>
      </c>
      <c r="R150" s="24">
        <f>SUMIFS('Aug-24 CREDIT MIS'!T:T,'Aug-24 CREDIT MIS'!S:S,"WIP- Credit",'Aug-24 CREDIT MIS'!E:E,'Aug Dashboard.'!B150,'Aug-24 CREDIT MIS'!I:I,'Aug Dashboard.'!A150,'Aug-24 CREDIT MIS'!N:N,'Aug Dashboard.'!$A$155)/100000</f>
        <v>0</v>
      </c>
      <c r="S150" s="24">
        <f>COUNTIFS('Aug-24 CREDIT MIS'!S:S,"Visit Pending",'Aug-24 CREDIT MIS'!E:E,'Aug Dashboard.'!B150,'Aug-24 CREDIT MIS'!I:I,'Aug Dashboard.'!A150,'Aug-24 CREDIT MIS'!N:N,'Aug Dashboard.'!$A$155)</f>
        <v>0</v>
      </c>
      <c r="T150" s="24">
        <f>SUMIFS('Aug-24 CREDIT MIS'!T:T,'Aug-24 CREDIT MIS'!S:S,"Visit Pending",'Aug-24 CREDIT MIS'!E:E,'Aug Dashboard.'!B150,'Aug-24 CREDIT MIS'!I:I,'Aug Dashboard.'!A150,'Aug-24 CREDIT MIS'!N:N,'Aug Dashboard.'!$A$155)/100000</f>
        <v>0</v>
      </c>
    </row>
    <row r="151" spans="1:20" x14ac:dyDescent="0.25">
      <c r="A151" s="46" t="s">
        <v>127</v>
      </c>
      <c r="B151" s="45" t="s">
        <v>175</v>
      </c>
      <c r="C151" s="24">
        <f>COUNTIFS('Aug-24 CREDIT MIS'!C:C,"&lt;01-08-2024",'Aug-24 CREDIT MIS'!E:E,'Aug Dashboard.'!B151,'Aug-24 CREDIT MIS'!I:I,'Aug Dashboard.'!A151,'Aug-24 CREDIT MIS'!N:N,"Sunil Bagoria")</f>
        <v>0</v>
      </c>
      <c r="D151" s="24">
        <f>SUMIFS('Aug-24 CREDIT MIS'!T:T,'Aug-24 CREDIT MIS'!C:C,"&lt;01-08-2024",'Aug-24 CREDIT MIS'!E:E,'Aug Dashboard.'!B151,'Aug-24 CREDIT MIS'!I:I,'Aug Dashboard.'!A151,'Aug-24 CREDIT MIS'!N:N,"Sunil Bagoria")/100000</f>
        <v>0</v>
      </c>
      <c r="E151" s="24">
        <f>COUNTIFS('Aug-24 CREDIT MIS'!C:C,"&gt;=01-08-2024",'Aug-24 CREDIT MIS'!E:E,'Aug Dashboard.'!B151,'Aug-24 CREDIT MIS'!I:I,'Aug Dashboard.'!A151,'Aug-24 CREDIT MIS'!N:N,"Sunil Bagoria")</f>
        <v>5</v>
      </c>
      <c r="F151" s="24">
        <f>SUMIFS('Aug-24 CREDIT MIS'!T:T,'Aug-24 CREDIT MIS'!C:C,"&gt;=01-08-2024",'Aug-24 CREDIT MIS'!E:E,'Aug Dashboard.'!B151,'Aug-24 CREDIT MIS'!I:I,'Aug Dashboard.'!A151,'Aug-24 CREDIT MIS'!N:N,"Sunil Bagoria")/100000</f>
        <v>29</v>
      </c>
      <c r="G151" s="24">
        <f t="shared" si="48"/>
        <v>5</v>
      </c>
      <c r="H151" s="24">
        <f t="shared" si="49"/>
        <v>29</v>
      </c>
      <c r="I151" s="24">
        <f>COUNTIFS('Aug-24 CREDIT MIS'!S:S,"Sanction",'Aug-24 CREDIT MIS'!E:E,'Aug Dashboard.'!B151,'Aug-24 CREDIT MIS'!I:I,'Aug Dashboard.'!A151,'Aug-24 CREDIT MIS'!N:N,'Aug Dashboard.'!$A$155)+COUNTIFS('Aug-24 CREDIT MIS'!S:S,"Disbursed",'Aug-24 CREDIT MIS'!E:E,'Aug Dashboard.'!B151,'Aug-24 CREDIT MIS'!I:I,'Aug Dashboard.'!A151,'Aug-24 CREDIT MIS'!N:N,'Aug Dashboard.'!$A$155)</f>
        <v>1</v>
      </c>
      <c r="J151" s="24">
        <f>SUMIFS('Aug-24 CREDIT MIS'!V:V,'Aug-24 CREDIT MIS'!S:S,"Sanction",'Aug-24 CREDIT MIS'!E:E,'Aug Dashboard.'!B151,'Aug-24 CREDIT MIS'!I:I,'Aug Dashboard.'!A151,'Aug-24 CREDIT MIS'!N:N,'Aug Dashboard.'!$A$155)/100000+SUMIFS('Aug-24 CREDIT MIS'!V:V,'Aug-24 CREDIT MIS'!S:S,"Disbursed",'Aug-24 CREDIT MIS'!E:E,'Aug Dashboard.'!B151,'Aug-24 CREDIT MIS'!I:I,'Aug Dashboard.'!A151,'Aug-24 CREDIT MIS'!N:N,'Aug Dashboard.'!$A$155)/100000</f>
        <v>3</v>
      </c>
      <c r="K151" s="24">
        <f>COUNTIFS('Aug-24 CREDIT MIS'!S:S,"Reject",'Aug-24 CREDIT MIS'!E:E,'Aug Dashboard.'!B151,'Aug-24 CREDIT MIS'!I:I,'Aug Dashboard.'!A151,'Aug-24 CREDIT MIS'!N:N,'Aug Dashboard.'!$A$155)</f>
        <v>1</v>
      </c>
      <c r="L151" s="24">
        <f>SUMIFS('Aug-24 CREDIT MIS'!T:T,'Aug-24 CREDIT MIS'!S:S,"Reject",'Aug-24 CREDIT MIS'!E:E,'Aug Dashboard.'!B151,'Aug-24 CREDIT MIS'!I:I,'Aug Dashboard.'!A151,'Aug-24 CREDIT MIS'!N:N,'Aug Dashboard.'!$A$155)/100000</f>
        <v>5</v>
      </c>
      <c r="M151" s="24">
        <f>COUNTIFS('Aug-24 CREDIT MIS'!S:S,"Recommend",'Aug-24 CREDIT MIS'!E:E,'Aug Dashboard.'!B151,'Aug-24 CREDIT MIS'!I:I,'Aug Dashboard.'!A151,'Aug-24 CREDIT MIS'!N:N,'Aug Dashboard.'!$A$155)</f>
        <v>0</v>
      </c>
      <c r="N151" s="24">
        <f>SUMIFS('Aug-24 CREDIT MIS'!T:T,'Aug-24 CREDIT MIS'!S:S,"Recommend",'Aug-24 CREDIT MIS'!E:E,'Aug Dashboard.'!B151,'Aug-24 CREDIT MIS'!I:I,'Aug Dashboard.'!A151,'Aug-24 CREDIT MIS'!N:N,'Aug Dashboard.'!$A$155)/100000</f>
        <v>0</v>
      </c>
      <c r="O151" s="24">
        <f>COUNTIFS('Aug-24 CREDIT MIS'!S:S,"Query- Sales",'Aug-24 CREDIT MIS'!E:E,'Aug Dashboard.'!B151,'Aug-24 CREDIT MIS'!I:I,'Aug Dashboard.'!A151,'Aug-24 CREDIT MIS'!N:N,'Aug Dashboard.'!$A$155)</f>
        <v>2</v>
      </c>
      <c r="P151" s="24">
        <f>SUMIFS('Aug-24 CREDIT MIS'!T:T,'Aug-24 CREDIT MIS'!S:S,"Query- Sales",'Aug-24 CREDIT MIS'!E:E,'Aug Dashboard.'!B151,'Aug-24 CREDIT MIS'!I:I,'Aug Dashboard.'!A151,'Aug-24 CREDIT MIS'!N:N,'Aug Dashboard.'!$A$155)/100000</f>
        <v>10</v>
      </c>
      <c r="Q151" s="24">
        <f>COUNTIFS('Aug-24 CREDIT MIS'!S:S,"WIP- Credit",'Aug-24 CREDIT MIS'!E:E,'Aug Dashboard.'!B151,'Aug-24 CREDIT MIS'!I:I,'Aug Dashboard.'!A151,'Aug-24 CREDIT MIS'!N:N,'Aug Dashboard.'!$A$155)</f>
        <v>1</v>
      </c>
      <c r="R151" s="24">
        <f>SUMIFS('Aug-24 CREDIT MIS'!T:T,'Aug-24 CREDIT MIS'!S:S,"WIP- Credit",'Aug-24 CREDIT MIS'!E:E,'Aug Dashboard.'!B151,'Aug-24 CREDIT MIS'!I:I,'Aug Dashboard.'!A151,'Aug-24 CREDIT MIS'!N:N,'Aug Dashboard.'!$A$155)/100000</f>
        <v>8</v>
      </c>
      <c r="S151" s="24">
        <f>COUNTIFS('Aug-24 CREDIT MIS'!S:S,"Visit Pending",'Aug-24 CREDIT MIS'!E:E,'Aug Dashboard.'!B151,'Aug-24 CREDIT MIS'!I:I,'Aug Dashboard.'!A151,'Aug-24 CREDIT MIS'!N:N,'Aug Dashboard.'!$A$155)</f>
        <v>0</v>
      </c>
      <c r="T151" s="24">
        <f>SUMIFS('Aug-24 CREDIT MIS'!T:T,'Aug-24 CREDIT MIS'!S:S,"Visit Pending",'Aug-24 CREDIT MIS'!E:E,'Aug Dashboard.'!B151,'Aug-24 CREDIT MIS'!I:I,'Aug Dashboard.'!A151,'Aug-24 CREDIT MIS'!N:N,'Aug Dashboard.'!$A$155)/100000</f>
        <v>0</v>
      </c>
    </row>
    <row r="152" spans="1:20" x14ac:dyDescent="0.25">
      <c r="A152" t="s">
        <v>174</v>
      </c>
      <c r="B152" t="s">
        <v>59</v>
      </c>
      <c r="C152" s="24">
        <f>COUNTIFS('Aug-24 CREDIT MIS'!C:C,"&lt;01-08-2024",'Aug-24 CREDIT MIS'!E:E,'Aug Dashboard.'!B152,'Aug-24 CREDIT MIS'!I:I,'Aug Dashboard.'!A152,'Aug-24 CREDIT MIS'!N:N,"Sunil Bagoria")</f>
        <v>0</v>
      </c>
      <c r="D152" s="24">
        <f>SUMIFS('Aug-24 CREDIT MIS'!T:T,'Aug-24 CREDIT MIS'!C:C,"&lt;01-08-2024",'Aug-24 CREDIT MIS'!E:E,'Aug Dashboard.'!B152,'Aug-24 CREDIT MIS'!I:I,'Aug Dashboard.'!A152,'Aug-24 CREDIT MIS'!N:N,"Sunil Bagoria")/100000</f>
        <v>0</v>
      </c>
      <c r="E152" s="24">
        <f>COUNTIFS('Aug-24 CREDIT MIS'!C:C,"&gt;=01-08-2024",'Aug-24 CREDIT MIS'!E:E,'Aug Dashboard.'!B152,'Aug-24 CREDIT MIS'!I:I,'Aug Dashboard.'!A152,'Aug-24 CREDIT MIS'!N:N,"Sunil Bagoria")</f>
        <v>2</v>
      </c>
      <c r="F152" s="24">
        <f>SUMIFS('Aug-24 CREDIT MIS'!T:T,'Aug-24 CREDIT MIS'!C:C,"&gt;=01-08-2024",'Aug-24 CREDIT MIS'!E:E,'Aug Dashboard.'!B152,'Aug-24 CREDIT MIS'!I:I,'Aug Dashboard.'!A152,'Aug-24 CREDIT MIS'!N:N,"Sunil Bagoria")/100000</f>
        <v>13</v>
      </c>
      <c r="G152" s="24">
        <f t="shared" si="48"/>
        <v>2</v>
      </c>
      <c r="H152" s="24">
        <f t="shared" si="49"/>
        <v>13</v>
      </c>
      <c r="I152" s="24">
        <f>COUNTIFS('Aug-24 CREDIT MIS'!S:S,"Sanction",'Aug-24 CREDIT MIS'!E:E,'Aug Dashboard.'!B152,'Aug-24 CREDIT MIS'!I:I,'Aug Dashboard.'!A152,'Aug-24 CREDIT MIS'!N:N,'Aug Dashboard.'!$A$155)+COUNTIFS('Aug-24 CREDIT MIS'!S:S,"Disbursed",'Aug-24 CREDIT MIS'!E:E,'Aug Dashboard.'!B152,'Aug-24 CREDIT MIS'!I:I,'Aug Dashboard.'!A152,'Aug-24 CREDIT MIS'!N:N,'Aug Dashboard.'!$A$155)</f>
        <v>0</v>
      </c>
      <c r="J152" s="24">
        <f>SUMIFS('Aug-24 CREDIT MIS'!V:V,'Aug-24 CREDIT MIS'!S:S,"Sanction",'Aug-24 CREDIT MIS'!E:E,'Aug Dashboard.'!B152,'Aug-24 CREDIT MIS'!I:I,'Aug Dashboard.'!A152,'Aug-24 CREDIT MIS'!N:N,'Aug Dashboard.'!$A$155)/100000+SUMIFS('Aug-24 CREDIT MIS'!V:V,'Aug-24 CREDIT MIS'!S:S,"Disbursed",'Aug-24 CREDIT MIS'!E:E,'Aug Dashboard.'!B152,'Aug-24 CREDIT MIS'!I:I,'Aug Dashboard.'!A152,'Aug-24 CREDIT MIS'!N:N,'Aug Dashboard.'!$A$155)/100000</f>
        <v>0</v>
      </c>
      <c r="K152" s="24">
        <f>COUNTIFS('Aug-24 CREDIT MIS'!S:S,"Reject",'Aug-24 CREDIT MIS'!E:E,'Aug Dashboard.'!B152,'Aug-24 CREDIT MIS'!I:I,'Aug Dashboard.'!A152,'Aug-24 CREDIT MIS'!N:N,'Aug Dashboard.'!$A$155)</f>
        <v>1</v>
      </c>
      <c r="L152" s="24">
        <f>SUMIFS('Aug-24 CREDIT MIS'!T:T,'Aug-24 CREDIT MIS'!S:S,"Reject",'Aug-24 CREDIT MIS'!E:E,'Aug Dashboard.'!B152,'Aug-24 CREDIT MIS'!I:I,'Aug Dashboard.'!A152,'Aug-24 CREDIT MIS'!N:N,'Aug Dashboard.'!$A$155)/100000</f>
        <v>5</v>
      </c>
      <c r="M152" s="24">
        <f>COUNTIFS('Aug-24 CREDIT MIS'!S:S,"Recommend",'Aug-24 CREDIT MIS'!E:E,'Aug Dashboard.'!B152,'Aug-24 CREDIT MIS'!I:I,'Aug Dashboard.'!A152,'Aug-24 CREDIT MIS'!N:N,'Aug Dashboard.'!$A$155)</f>
        <v>0</v>
      </c>
      <c r="N152" s="24">
        <f>SUMIFS('Aug-24 CREDIT MIS'!T:T,'Aug-24 CREDIT MIS'!S:S,"Recommend",'Aug-24 CREDIT MIS'!E:E,'Aug Dashboard.'!B152,'Aug-24 CREDIT MIS'!I:I,'Aug Dashboard.'!A152,'Aug-24 CREDIT MIS'!N:N,'Aug Dashboard.'!$A$155)/100000</f>
        <v>0</v>
      </c>
      <c r="O152" s="24">
        <f>COUNTIFS('Aug-24 CREDIT MIS'!S:S,"Query- Sales",'Aug-24 CREDIT MIS'!E:E,'Aug Dashboard.'!B152,'Aug-24 CREDIT MIS'!I:I,'Aug Dashboard.'!A152,'Aug-24 CREDIT MIS'!N:N,'Aug Dashboard.'!$A$155)</f>
        <v>1</v>
      </c>
      <c r="P152" s="24">
        <f>SUMIFS('Aug-24 CREDIT MIS'!T:T,'Aug-24 CREDIT MIS'!S:S,"Query- Sales",'Aug-24 CREDIT MIS'!E:E,'Aug Dashboard.'!B152,'Aug-24 CREDIT MIS'!I:I,'Aug Dashboard.'!A152,'Aug-24 CREDIT MIS'!N:N,'Aug Dashboard.'!$A$155)/100000</f>
        <v>8</v>
      </c>
      <c r="Q152" s="24">
        <f>COUNTIFS('Aug-24 CREDIT MIS'!S:S,"WIP- Credit",'Aug-24 CREDIT MIS'!E:E,'Aug Dashboard.'!B152,'Aug-24 CREDIT MIS'!I:I,'Aug Dashboard.'!A152,'Aug-24 CREDIT MIS'!N:N,'Aug Dashboard.'!$A$155)</f>
        <v>0</v>
      </c>
      <c r="R152" s="24">
        <f>SUMIFS('Aug-24 CREDIT MIS'!T:T,'Aug-24 CREDIT MIS'!S:S,"WIP- Credit",'Aug-24 CREDIT MIS'!E:E,'Aug Dashboard.'!B152,'Aug-24 CREDIT MIS'!I:I,'Aug Dashboard.'!A152,'Aug-24 CREDIT MIS'!N:N,'Aug Dashboard.'!$A$155)/100000</f>
        <v>0</v>
      </c>
      <c r="S152" s="24">
        <f>COUNTIFS('Aug-24 CREDIT MIS'!S:S,"Visit Pending",'Aug-24 CREDIT MIS'!E:E,'Aug Dashboard.'!B152,'Aug-24 CREDIT MIS'!I:I,'Aug Dashboard.'!A152,'Aug-24 CREDIT MIS'!N:N,'Aug Dashboard.'!$A$155)</f>
        <v>0</v>
      </c>
      <c r="T152" s="24">
        <f>SUMIFS('Aug-24 CREDIT MIS'!T:T,'Aug-24 CREDIT MIS'!S:S,"Visit Pending",'Aug-24 CREDIT MIS'!E:E,'Aug Dashboard.'!B152,'Aug-24 CREDIT MIS'!I:I,'Aug Dashboard.'!A152,'Aug-24 CREDIT MIS'!N:N,'Aug Dashboard.'!$A$155)/100000</f>
        <v>0</v>
      </c>
    </row>
    <row r="153" spans="1:20" x14ac:dyDescent="0.25">
      <c r="A153" s="30" t="s">
        <v>173</v>
      </c>
      <c r="B153" s="57" t="s">
        <v>6</v>
      </c>
      <c r="C153" s="24">
        <f>COUNTIFS('Aug-24 CREDIT MIS'!C:C,"&lt;01-08-2024",'Aug-24 CREDIT MIS'!E:E,'Aug Dashboard.'!B153,'Aug-24 CREDIT MIS'!I:I,'Aug Dashboard.'!A153,'Aug-24 CREDIT MIS'!N:N,"Sunil Bagoria")</f>
        <v>1</v>
      </c>
      <c r="D153" s="24">
        <f>SUMIFS('Aug-24 CREDIT MIS'!T:T,'Aug-24 CREDIT MIS'!C:C,"&lt;01-08-2024",'Aug-24 CREDIT MIS'!E:E,'Aug Dashboard.'!B153,'Aug-24 CREDIT MIS'!I:I,'Aug Dashboard.'!A153,'Aug-24 CREDIT MIS'!N:N,"Sunil Bagoria")/100000</f>
        <v>7</v>
      </c>
      <c r="E153" s="24">
        <f>COUNTIFS('Aug-24 CREDIT MIS'!C:C,"&gt;=01-08-2024",'Aug-24 CREDIT MIS'!E:E,'Aug Dashboard.'!B153,'Aug-24 CREDIT MIS'!I:I,'Aug Dashboard.'!A153,'Aug-24 CREDIT MIS'!N:N,"Sunil Bagoria")</f>
        <v>2</v>
      </c>
      <c r="F153" s="24">
        <f>SUMIFS('Aug-24 CREDIT MIS'!T:T,'Aug-24 CREDIT MIS'!C:C,"&gt;=01-08-2024",'Aug-24 CREDIT MIS'!E:E,'Aug Dashboard.'!B153,'Aug-24 CREDIT MIS'!I:I,'Aug Dashboard.'!A153,'Aug-24 CREDIT MIS'!N:N,"Sunil Bagoria")/100000</f>
        <v>12</v>
      </c>
      <c r="G153" s="24">
        <f t="shared" si="48"/>
        <v>3</v>
      </c>
      <c r="H153" s="24">
        <f t="shared" si="49"/>
        <v>19</v>
      </c>
      <c r="I153" s="24">
        <f>COUNTIFS('Aug-24 CREDIT MIS'!S:S,"Sanction",'Aug-24 CREDIT MIS'!E:E,'Aug Dashboard.'!B153,'Aug-24 CREDIT MIS'!I:I,'Aug Dashboard.'!A153,'Aug-24 CREDIT MIS'!N:N,'Aug Dashboard.'!$A$155)+COUNTIFS('Aug-24 CREDIT MIS'!S:S,"Disbursed",'Aug-24 CREDIT MIS'!E:E,'Aug Dashboard.'!B153,'Aug-24 CREDIT MIS'!I:I,'Aug Dashboard.'!A153,'Aug-24 CREDIT MIS'!N:N,'Aug Dashboard.'!$A$155)</f>
        <v>1</v>
      </c>
      <c r="J153" s="24">
        <f>SUMIFS('Aug-24 CREDIT MIS'!V:V,'Aug-24 CREDIT MIS'!S:S,"Sanction",'Aug-24 CREDIT MIS'!E:E,'Aug Dashboard.'!B153,'Aug-24 CREDIT MIS'!I:I,'Aug Dashboard.'!A153,'Aug-24 CREDIT MIS'!N:N,'Aug Dashboard.'!$A$155)/100000+SUMIFS('Aug-24 CREDIT MIS'!V:V,'Aug-24 CREDIT MIS'!S:S,"Disbursed",'Aug-24 CREDIT MIS'!E:E,'Aug Dashboard.'!B153,'Aug-24 CREDIT MIS'!I:I,'Aug Dashboard.'!A153,'Aug-24 CREDIT MIS'!N:N,'Aug Dashboard.'!$A$155)/100000</f>
        <v>3.8</v>
      </c>
      <c r="K153" s="24">
        <f>COUNTIFS('Aug-24 CREDIT MIS'!S:S,"Reject",'Aug-24 CREDIT MIS'!E:E,'Aug Dashboard.'!B153,'Aug-24 CREDIT MIS'!I:I,'Aug Dashboard.'!A153,'Aug-24 CREDIT MIS'!N:N,'Aug Dashboard.'!$A$155)</f>
        <v>1</v>
      </c>
      <c r="L153" s="24">
        <f>SUMIFS('Aug-24 CREDIT MIS'!T:T,'Aug-24 CREDIT MIS'!S:S,"Reject",'Aug-24 CREDIT MIS'!E:E,'Aug Dashboard.'!B153,'Aug-24 CREDIT MIS'!I:I,'Aug Dashboard.'!A153,'Aug-24 CREDIT MIS'!N:N,'Aug Dashboard.'!$A$155)/100000</f>
        <v>7</v>
      </c>
      <c r="M153" s="24">
        <f>COUNTIFS('Aug-24 CREDIT MIS'!S:S,"Recommend",'Aug-24 CREDIT MIS'!E:E,'Aug Dashboard.'!B153,'Aug-24 CREDIT MIS'!I:I,'Aug Dashboard.'!A153,'Aug-24 CREDIT MIS'!N:N,'Aug Dashboard.'!$A$155)</f>
        <v>0</v>
      </c>
      <c r="N153" s="24">
        <f>SUMIFS('Aug-24 CREDIT MIS'!T:T,'Aug-24 CREDIT MIS'!S:S,"Recommend",'Aug-24 CREDIT MIS'!E:E,'Aug Dashboard.'!B153,'Aug-24 CREDIT MIS'!I:I,'Aug Dashboard.'!A153,'Aug-24 CREDIT MIS'!N:N,'Aug Dashboard.'!$A$155)/100000</f>
        <v>0</v>
      </c>
      <c r="O153" s="24">
        <f>COUNTIFS('Aug-24 CREDIT MIS'!S:S,"Query- Sales",'Aug-24 CREDIT MIS'!E:E,'Aug Dashboard.'!B153,'Aug-24 CREDIT MIS'!I:I,'Aug Dashboard.'!A153,'Aug-24 CREDIT MIS'!N:N,'Aug Dashboard.'!$A$155)</f>
        <v>1</v>
      </c>
      <c r="P153" s="24">
        <f>SUMIFS('Aug-24 CREDIT MIS'!T:T,'Aug-24 CREDIT MIS'!S:S,"Query- Sales",'Aug-24 CREDIT MIS'!E:E,'Aug Dashboard.'!B153,'Aug-24 CREDIT MIS'!I:I,'Aug Dashboard.'!A153,'Aug-24 CREDIT MIS'!N:N,'Aug Dashboard.'!$A$155)/100000</f>
        <v>5</v>
      </c>
      <c r="Q153" s="24">
        <f>COUNTIFS('Aug-24 CREDIT MIS'!S:S,"WIP- Credit",'Aug-24 CREDIT MIS'!E:E,'Aug Dashboard.'!B153,'Aug-24 CREDIT MIS'!I:I,'Aug Dashboard.'!A153,'Aug-24 CREDIT MIS'!N:N,'Aug Dashboard.'!$A$155)</f>
        <v>0</v>
      </c>
      <c r="R153" s="24">
        <f>SUMIFS('Aug-24 CREDIT MIS'!T:T,'Aug-24 CREDIT MIS'!S:S,"WIP- Credit",'Aug-24 CREDIT MIS'!E:E,'Aug Dashboard.'!B153,'Aug-24 CREDIT MIS'!I:I,'Aug Dashboard.'!A153,'Aug-24 CREDIT MIS'!N:N,'Aug Dashboard.'!$A$155)/100000</f>
        <v>0</v>
      </c>
      <c r="S153" s="24">
        <f>COUNTIFS('Aug-24 CREDIT MIS'!S:S,"Visit Pending",'Aug-24 CREDIT MIS'!E:E,'Aug Dashboard.'!B153,'Aug-24 CREDIT MIS'!I:I,'Aug Dashboard.'!A153,'Aug-24 CREDIT MIS'!N:N,'Aug Dashboard.'!$A$155)</f>
        <v>0</v>
      </c>
      <c r="T153" s="24">
        <f>SUMIFS('Aug-24 CREDIT MIS'!T:T,'Aug-24 CREDIT MIS'!S:S,"Visit Pending",'Aug-24 CREDIT MIS'!E:E,'Aug Dashboard.'!B153,'Aug-24 CREDIT MIS'!I:I,'Aug Dashboard.'!A153,'Aug-24 CREDIT MIS'!N:N,'Aug Dashboard.'!$A$155)/100000</f>
        <v>0</v>
      </c>
    </row>
    <row r="154" spans="1:20" x14ac:dyDescent="0.25">
      <c r="A154" s="30" t="s">
        <v>172</v>
      </c>
      <c r="B154" s="25" t="s">
        <v>57</v>
      </c>
      <c r="C154" s="24">
        <f>COUNTIFS('Aug-24 CREDIT MIS'!C:C,"&lt;01-08-2024",'Aug-24 CREDIT MIS'!E:E,'Aug Dashboard.'!B154,'Aug-24 CREDIT MIS'!I:I,'Aug Dashboard.'!A154,'Aug-24 CREDIT MIS'!N:N,"Sunil Bagoria")</f>
        <v>0</v>
      </c>
      <c r="D154" s="24">
        <f>SUMIFS('Aug-24 CREDIT MIS'!T:T,'Aug-24 CREDIT MIS'!C:C,"&lt;01-08-2024",'Aug-24 CREDIT MIS'!E:E,'Aug Dashboard.'!B154,'Aug-24 CREDIT MIS'!I:I,'Aug Dashboard.'!A154,'Aug-24 CREDIT MIS'!N:N,"Sunil Bagoria")/100000</f>
        <v>0</v>
      </c>
      <c r="E154" s="24">
        <f>COUNTIFS('Aug-24 CREDIT MIS'!C:C,"&gt;=01-08-2024",'Aug-24 CREDIT MIS'!E:E,'Aug Dashboard.'!B154,'Aug-24 CREDIT MIS'!I:I,'Aug Dashboard.'!A154,'Aug-24 CREDIT MIS'!N:N,"Sunil Bagoria")</f>
        <v>3</v>
      </c>
      <c r="F154" s="24">
        <f>SUMIFS('Aug-24 CREDIT MIS'!T:T,'Aug-24 CREDIT MIS'!C:C,"&gt;=01-08-2024",'Aug-24 CREDIT MIS'!E:E,'Aug Dashboard.'!B154,'Aug-24 CREDIT MIS'!I:I,'Aug Dashboard.'!A154,'Aug-24 CREDIT MIS'!N:N,"Sunil Bagoria")/100000</f>
        <v>20</v>
      </c>
      <c r="G154" s="24">
        <f t="shared" si="48"/>
        <v>3</v>
      </c>
      <c r="H154" s="24">
        <f t="shared" si="49"/>
        <v>20</v>
      </c>
      <c r="I154" s="24">
        <f>COUNTIFS('Aug-24 CREDIT MIS'!S:S,"Sanction",'Aug-24 CREDIT MIS'!E:E,'Aug Dashboard.'!B154,'Aug-24 CREDIT MIS'!I:I,'Aug Dashboard.'!A154,'Aug-24 CREDIT MIS'!N:N,'Aug Dashboard.'!$A$155)+COUNTIFS('Aug-24 CREDIT MIS'!S:S,"Disbursed",'Aug-24 CREDIT MIS'!E:E,'Aug Dashboard.'!B154,'Aug-24 CREDIT MIS'!I:I,'Aug Dashboard.'!A154,'Aug-24 CREDIT MIS'!N:N,'Aug Dashboard.'!$A$155)</f>
        <v>0</v>
      </c>
      <c r="J154" s="24">
        <f>SUMIFS('Aug-24 CREDIT MIS'!V:V,'Aug-24 CREDIT MIS'!S:S,"Sanction",'Aug-24 CREDIT MIS'!E:E,'Aug Dashboard.'!B154,'Aug-24 CREDIT MIS'!I:I,'Aug Dashboard.'!A154,'Aug-24 CREDIT MIS'!N:N,'Aug Dashboard.'!$A$155)/100000+SUMIFS('Aug-24 CREDIT MIS'!V:V,'Aug-24 CREDIT MIS'!S:S,"Disbursed",'Aug-24 CREDIT MIS'!E:E,'Aug Dashboard.'!B154,'Aug-24 CREDIT MIS'!I:I,'Aug Dashboard.'!A154,'Aug-24 CREDIT MIS'!N:N,'Aug Dashboard.'!$A$155)/100000</f>
        <v>0</v>
      </c>
      <c r="K154" s="24">
        <f>COUNTIFS('Aug-24 CREDIT MIS'!S:S,"Reject",'Aug-24 CREDIT MIS'!E:E,'Aug Dashboard.'!B154,'Aug-24 CREDIT MIS'!I:I,'Aug Dashboard.'!A154,'Aug-24 CREDIT MIS'!N:N,'Aug Dashboard.'!$A$155)</f>
        <v>0</v>
      </c>
      <c r="L154" s="24">
        <f>SUMIFS('Aug-24 CREDIT MIS'!T:T,'Aug-24 CREDIT MIS'!S:S,"Reject",'Aug-24 CREDIT MIS'!E:E,'Aug Dashboard.'!B154,'Aug-24 CREDIT MIS'!I:I,'Aug Dashboard.'!A154,'Aug-24 CREDIT MIS'!N:N,'Aug Dashboard.'!$A$155)/100000</f>
        <v>0</v>
      </c>
      <c r="M154" s="24">
        <f>COUNTIFS('Aug-24 CREDIT MIS'!S:S,"Recommend",'Aug-24 CREDIT MIS'!E:E,'Aug Dashboard.'!B154,'Aug-24 CREDIT MIS'!I:I,'Aug Dashboard.'!A154,'Aug-24 CREDIT MIS'!N:N,'Aug Dashboard.'!$A$155)</f>
        <v>0</v>
      </c>
      <c r="N154" s="24">
        <f>SUMIFS('Aug-24 CREDIT MIS'!T:T,'Aug-24 CREDIT MIS'!S:S,"Recommend",'Aug-24 CREDIT MIS'!E:E,'Aug Dashboard.'!B154,'Aug-24 CREDIT MIS'!I:I,'Aug Dashboard.'!A154,'Aug-24 CREDIT MIS'!N:N,'Aug Dashboard.'!$A$155)/100000</f>
        <v>0</v>
      </c>
      <c r="O154" s="24">
        <f>COUNTIFS('Aug-24 CREDIT MIS'!S:S,"Query- Sales",'Aug-24 CREDIT MIS'!E:E,'Aug Dashboard.'!B154,'Aug-24 CREDIT MIS'!I:I,'Aug Dashboard.'!A154,'Aug-24 CREDIT MIS'!N:N,'Aug Dashboard.'!$A$155)</f>
        <v>2</v>
      </c>
      <c r="P154" s="24">
        <f>SUMIFS('Aug-24 CREDIT MIS'!T:T,'Aug-24 CREDIT MIS'!S:S,"Query- Sales",'Aug-24 CREDIT MIS'!E:E,'Aug Dashboard.'!B154,'Aug-24 CREDIT MIS'!I:I,'Aug Dashboard.'!A154,'Aug-24 CREDIT MIS'!N:N,'Aug Dashboard.'!$A$155)/100000</f>
        <v>13</v>
      </c>
      <c r="Q154" s="24">
        <f>COUNTIFS('Aug-24 CREDIT MIS'!S:S,"WIP- Credit",'Aug-24 CREDIT MIS'!E:E,'Aug Dashboard.'!B154,'Aug-24 CREDIT MIS'!I:I,'Aug Dashboard.'!A154,'Aug-24 CREDIT MIS'!N:N,'Aug Dashboard.'!$A$155)</f>
        <v>0</v>
      </c>
      <c r="R154" s="24">
        <f>SUMIFS('Aug-24 CREDIT MIS'!T:T,'Aug-24 CREDIT MIS'!S:S,"WIP- Credit",'Aug-24 CREDIT MIS'!E:E,'Aug Dashboard.'!B154,'Aug-24 CREDIT MIS'!I:I,'Aug Dashboard.'!A154,'Aug-24 CREDIT MIS'!N:N,'Aug Dashboard.'!$A$155)/100000</f>
        <v>0</v>
      </c>
      <c r="S154" s="24">
        <f>COUNTIFS('Aug-24 CREDIT MIS'!S:S,"Visit Pending",'Aug-24 CREDIT MIS'!E:E,'Aug Dashboard.'!B154,'Aug-24 CREDIT MIS'!I:I,'Aug Dashboard.'!A154,'Aug-24 CREDIT MIS'!N:N,'Aug Dashboard.'!$A$155)</f>
        <v>1</v>
      </c>
      <c r="T154" s="24">
        <f>SUMIFS('Aug-24 CREDIT MIS'!T:T,'Aug-24 CREDIT MIS'!S:S,"Visit Pending",'Aug-24 CREDIT MIS'!E:E,'Aug Dashboard.'!B154,'Aug-24 CREDIT MIS'!I:I,'Aug Dashboard.'!A154,'Aug-24 CREDIT MIS'!N:N,'Aug Dashboard.'!$A$155)/100000</f>
        <v>7</v>
      </c>
    </row>
    <row r="155" spans="1:20" ht="15" customHeight="1" x14ac:dyDescent="0.25">
      <c r="A155" s="166" t="s">
        <v>118</v>
      </c>
      <c r="B155" s="167"/>
      <c r="C155" s="24">
        <f t="shared" ref="C155:T155" si="52">SUM(C133:C154)</f>
        <v>2</v>
      </c>
      <c r="D155" s="24">
        <f t="shared" si="52"/>
        <v>15</v>
      </c>
      <c r="E155" s="24">
        <f t="shared" si="52"/>
        <v>21</v>
      </c>
      <c r="F155" s="24">
        <f t="shared" si="52"/>
        <v>127.99000000000001</v>
      </c>
      <c r="G155" s="24">
        <f t="shared" si="52"/>
        <v>23</v>
      </c>
      <c r="H155" s="24">
        <f t="shared" si="52"/>
        <v>142.99</v>
      </c>
      <c r="I155" s="24">
        <f t="shared" si="52"/>
        <v>3</v>
      </c>
      <c r="J155" s="24">
        <f t="shared" si="52"/>
        <v>10.8</v>
      </c>
      <c r="K155" s="24">
        <f t="shared" si="52"/>
        <v>8</v>
      </c>
      <c r="L155" s="24">
        <f t="shared" si="52"/>
        <v>48.99</v>
      </c>
      <c r="M155" s="24">
        <f t="shared" si="52"/>
        <v>0</v>
      </c>
      <c r="N155" s="24">
        <f t="shared" si="52"/>
        <v>0</v>
      </c>
      <c r="O155" s="24">
        <f t="shared" si="52"/>
        <v>8</v>
      </c>
      <c r="P155" s="24">
        <f t="shared" si="52"/>
        <v>50</v>
      </c>
      <c r="Q155" s="24">
        <f t="shared" si="52"/>
        <v>3</v>
      </c>
      <c r="R155" s="24">
        <f t="shared" si="52"/>
        <v>16</v>
      </c>
      <c r="S155" s="24">
        <f t="shared" si="52"/>
        <v>1</v>
      </c>
      <c r="T155" s="24">
        <f t="shared" si="52"/>
        <v>7</v>
      </c>
    </row>
    <row r="156" spans="1:20" x14ac:dyDescent="0.25">
      <c r="A156" s="56" t="s">
        <v>171</v>
      </c>
      <c r="B156" s="54" t="s">
        <v>67</v>
      </c>
      <c r="C156" s="24">
        <f>COUNTIFS('Aug-24 CREDIT MIS'!C:C,"&lt;01-08-2024",'Aug-24 CREDIT MIS'!E:E,'Aug Dashboard.'!B156,'Aug-24 CREDIT MIS'!I:I,'Aug Dashboard.'!A156,'Aug-24 CREDIT MIS'!N:N,"Mohan Shankar Sharma")</f>
        <v>0</v>
      </c>
      <c r="D156" s="24">
        <f>SUMIFS('Aug-24 CREDIT MIS'!T:T,'Aug-24 CREDIT MIS'!C:C,"&lt;01-08-2024",'Aug-24 CREDIT MIS'!E:E,'Aug Dashboard.'!B156,'Aug-24 CREDIT MIS'!I:I,'Aug Dashboard.'!A156,'Aug-24 CREDIT MIS'!N:N,"Mohan Shankar Sharma")/100000</f>
        <v>0</v>
      </c>
      <c r="E156" s="24">
        <f>COUNTIFS('Aug-24 CREDIT MIS'!C:C,"&gt;=01-08-2024",'Aug-24 CREDIT MIS'!E:E,'Aug Dashboard.'!B156,'Aug-24 CREDIT MIS'!I:I,'Aug Dashboard.'!A156,'Aug-24 CREDIT MIS'!N:N,"Mohan Shankar Sharma")</f>
        <v>1</v>
      </c>
      <c r="F156" s="24">
        <f>SUMIFS('Aug-24 CREDIT MIS'!T:T,'Aug-24 CREDIT MIS'!C:C,"&gt;=01-08-2024",'Aug-24 CREDIT MIS'!E:E,'Aug Dashboard.'!B156,'Aug-24 CREDIT MIS'!I:I,'Aug Dashboard.'!A156,'Aug-24 CREDIT MIS'!N:N,"Mohan Shankar Sharma")/100000</f>
        <v>4</v>
      </c>
      <c r="G156" s="24">
        <f t="shared" ref="G156:H161" si="53">E156+C156</f>
        <v>1</v>
      </c>
      <c r="H156" s="24">
        <f t="shared" si="53"/>
        <v>4</v>
      </c>
      <c r="I156" s="24">
        <f>COUNTIFS('Aug-24 CREDIT MIS'!S:S,"Sanction",'Aug-24 CREDIT MIS'!E:E,'Aug Dashboard.'!B156,'Aug-24 CREDIT MIS'!I:I,'Aug Dashboard.'!A156,'Aug-24 CREDIT MIS'!N:N,'Aug Dashboard.'!$A$162)+COUNTIFS('Aug-24 CREDIT MIS'!S:S,"Disbursed",'Aug-24 CREDIT MIS'!E:E,'Aug Dashboard.'!B156,'Aug-24 CREDIT MIS'!I:I,'Aug Dashboard.'!A156,'Aug-24 CREDIT MIS'!N:N,'Aug Dashboard.'!$A$162)</f>
        <v>0</v>
      </c>
      <c r="J156" s="24">
        <f>SUMIFS('Aug-24 CREDIT MIS'!V:V,'Aug-24 CREDIT MIS'!S:S,"Sanction",'Aug-24 CREDIT MIS'!E:E,'Aug Dashboard.'!B156,'Aug-24 CREDIT MIS'!I:I,'Aug Dashboard.'!A156,'Aug-24 CREDIT MIS'!N:N,'Aug Dashboard.'!$A$162)/100000+SUMIFS('Aug-24 CREDIT MIS'!V:V,'Aug-24 CREDIT MIS'!S:S,"Disbursed",'Aug-24 CREDIT MIS'!E:E,'Aug Dashboard.'!B156,'Aug-24 CREDIT MIS'!I:I,'Aug Dashboard.'!A156,'Aug-24 CREDIT MIS'!N:N,'Aug Dashboard.'!$A$162)/100000</f>
        <v>0</v>
      </c>
      <c r="K156" s="24">
        <f>COUNTIFS('Aug-24 CREDIT MIS'!S:S,"Reject",'Aug-24 CREDIT MIS'!E:E,'Aug Dashboard.'!B156,'Aug-24 CREDIT MIS'!I:I,'Aug Dashboard.'!A156,'Aug-24 CREDIT MIS'!N:N,'Aug Dashboard.'!$A$162)</f>
        <v>0</v>
      </c>
      <c r="L156" s="24">
        <f>SUMIFS('Aug-24 CREDIT MIS'!T:T,'Aug-24 CREDIT MIS'!S:S,"Reject",'Aug-24 CREDIT MIS'!E:E,'Aug Dashboard.'!B156,'Aug-24 CREDIT MIS'!I:I,'Aug Dashboard.'!A156,'Aug-24 CREDIT MIS'!N:N,'Aug Dashboard.'!$A$162)/100000</f>
        <v>0</v>
      </c>
      <c r="M156" s="24">
        <f>COUNTIFS('Aug-24 CREDIT MIS'!S:S,"Recommend",'Aug-24 CREDIT MIS'!E:E,'Aug Dashboard.'!B156,'Aug-24 CREDIT MIS'!I:I,'Aug Dashboard.'!A156,'Aug-24 CREDIT MIS'!N:N,'Aug Dashboard.'!$A$162)</f>
        <v>0</v>
      </c>
      <c r="N156" s="24">
        <f>SUMIFS('Aug-24 CREDIT MIS'!T:T,'Aug-24 CREDIT MIS'!S:S,"Recommend",'Aug-24 CREDIT MIS'!E:E,'Aug Dashboard.'!B156,'Aug-24 CREDIT MIS'!I:I,'Aug Dashboard.'!A156,'Aug-24 CREDIT MIS'!N:N,'Aug Dashboard.'!$A$162)/100000</f>
        <v>0</v>
      </c>
      <c r="O156" s="24">
        <f>COUNTIFS('Aug-24 CREDIT MIS'!S:S,"Query- Sales",'Aug-24 CREDIT MIS'!E:E,'Aug Dashboard.'!B156,'Aug-24 CREDIT MIS'!I:I,'Aug Dashboard.'!A156,'Aug-24 CREDIT MIS'!N:N,'Aug Dashboard.'!$A$162)</f>
        <v>0</v>
      </c>
      <c r="P156" s="24">
        <f>SUMIFS('Aug-24 CREDIT MIS'!T:T,'Aug-24 CREDIT MIS'!S:S,"Query- Sales",'Aug-24 CREDIT MIS'!E:E,'Aug Dashboard.'!B156,'Aug-24 CREDIT MIS'!I:I,'Aug Dashboard.'!A156,'Aug-24 CREDIT MIS'!N:N,'Aug Dashboard.'!$A$162)/100000</f>
        <v>0</v>
      </c>
      <c r="Q156" s="24">
        <f>COUNTIFS('Aug-24 CREDIT MIS'!S:S,"WIP- Credit",'Aug-24 CREDIT MIS'!E:E,'Aug Dashboard.'!B156,'Aug-24 CREDIT MIS'!I:I,'Aug Dashboard.'!A156,'Aug-24 CREDIT MIS'!N:N,'Aug Dashboard.'!$A$162)</f>
        <v>0</v>
      </c>
      <c r="R156" s="24">
        <f>SUMIFS('Aug-24 CREDIT MIS'!T:T,'Aug-24 CREDIT MIS'!S:S,"WIP- Credit",'Aug-24 CREDIT MIS'!E:E,'Aug Dashboard.'!B156,'Aug-24 CREDIT MIS'!I:I,'Aug Dashboard.'!A156,'Aug-24 CREDIT MIS'!N:N,'Aug Dashboard.'!$A$162)/100000</f>
        <v>0</v>
      </c>
      <c r="S156" s="24">
        <f>COUNTIFS('Aug-24 CREDIT MIS'!S:S,"Visit Pending",'Aug-24 CREDIT MIS'!E:E,'Aug Dashboard.'!B156,'Aug-24 CREDIT MIS'!I:I,'Aug Dashboard.'!A156,'Aug-24 CREDIT MIS'!N:N,'Aug Dashboard.'!$A$162)</f>
        <v>1</v>
      </c>
      <c r="T156" s="24">
        <f>SUMIFS('Aug-24 CREDIT MIS'!T:T,'Aug-24 CREDIT MIS'!S:S,"Visit Pending",'Aug-24 CREDIT MIS'!E:E,'Aug Dashboard.'!B156,'Aug-24 CREDIT MIS'!I:I,'Aug Dashboard.'!A156,'Aug-24 CREDIT MIS'!N:N,'Aug Dashboard.'!$A$162)/100000</f>
        <v>4</v>
      </c>
    </row>
    <row r="157" spans="1:20" x14ac:dyDescent="0.25">
      <c r="A157" s="55" t="s">
        <v>170</v>
      </c>
      <c r="B157" s="54" t="s">
        <v>36</v>
      </c>
      <c r="C157" s="24">
        <f>COUNTIFS('Aug-24 CREDIT MIS'!C:C,"&lt;01-08-2024",'Aug-24 CREDIT MIS'!E:E,'Aug Dashboard.'!B157,'Aug-24 CREDIT MIS'!I:I,'Aug Dashboard.'!A157,'Aug-24 CREDIT MIS'!N:N,"Mohan Shankar Sharma")</f>
        <v>1</v>
      </c>
      <c r="D157" s="24">
        <f>SUMIFS('Aug-24 CREDIT MIS'!T:T,'Aug-24 CREDIT MIS'!C:C,"&lt;01-08-2024",'Aug-24 CREDIT MIS'!E:E,'Aug Dashboard.'!B157,'Aug-24 CREDIT MIS'!I:I,'Aug Dashboard.'!A157,'Aug-24 CREDIT MIS'!N:N,"Mohan Shankar Sharma")/100000</f>
        <v>9</v>
      </c>
      <c r="E157" s="24">
        <f>COUNTIFS('Aug-24 CREDIT MIS'!C:C,"&gt;=01-08-2024",'Aug-24 CREDIT MIS'!E:E,'Aug Dashboard.'!B157,'Aug-24 CREDIT MIS'!I:I,'Aug Dashboard.'!A157,'Aug-24 CREDIT MIS'!N:N,"Mohan Shankar Sharma")</f>
        <v>2</v>
      </c>
      <c r="F157" s="24">
        <f>SUMIFS('Aug-24 CREDIT MIS'!T:T,'Aug-24 CREDIT MIS'!C:C,"&gt;=01-08-2024",'Aug-24 CREDIT MIS'!E:E,'Aug Dashboard.'!B157,'Aug-24 CREDIT MIS'!I:I,'Aug Dashboard.'!A157,'Aug-24 CREDIT MIS'!N:N,"Mohan Shankar Sharma")/100000</f>
        <v>17</v>
      </c>
      <c r="G157" s="24">
        <f t="shared" si="53"/>
        <v>3</v>
      </c>
      <c r="H157" s="24">
        <f t="shared" si="53"/>
        <v>26</v>
      </c>
      <c r="I157" s="24">
        <f>COUNTIFS('Aug-24 CREDIT MIS'!S:S,"Sanction",'Aug-24 CREDIT MIS'!E:E,'Aug Dashboard.'!B157,'Aug-24 CREDIT MIS'!I:I,'Aug Dashboard.'!A157,'Aug-24 CREDIT MIS'!N:N,'Aug Dashboard.'!$A$162)+COUNTIFS('Aug-24 CREDIT MIS'!S:S,"Disbursed",'Aug-24 CREDIT MIS'!E:E,'Aug Dashboard.'!B157,'Aug-24 CREDIT MIS'!I:I,'Aug Dashboard.'!A157,'Aug-24 CREDIT MIS'!N:N,'Aug Dashboard.'!$A$162)</f>
        <v>1</v>
      </c>
      <c r="J157" s="24">
        <f>SUMIFS('Aug-24 CREDIT MIS'!V:V,'Aug-24 CREDIT MIS'!S:S,"Sanction",'Aug-24 CREDIT MIS'!E:E,'Aug Dashboard.'!B157,'Aug-24 CREDIT MIS'!I:I,'Aug Dashboard.'!A157,'Aug-24 CREDIT MIS'!N:N,'Aug Dashboard.'!$A$162)/100000+SUMIFS('Aug-24 CREDIT MIS'!V:V,'Aug-24 CREDIT MIS'!S:S,"Disbursed",'Aug-24 CREDIT MIS'!E:E,'Aug Dashboard.'!B157,'Aug-24 CREDIT MIS'!I:I,'Aug Dashboard.'!A157,'Aug-24 CREDIT MIS'!N:N,'Aug Dashboard.'!$A$162)/100000</f>
        <v>5.5</v>
      </c>
      <c r="K157" s="24">
        <f>COUNTIFS('Aug-24 CREDIT MIS'!S:S,"Reject",'Aug-24 CREDIT MIS'!E:E,'Aug Dashboard.'!B157,'Aug-24 CREDIT MIS'!I:I,'Aug Dashboard.'!A157,'Aug-24 CREDIT MIS'!N:N,'Aug Dashboard.'!$A$162)</f>
        <v>1</v>
      </c>
      <c r="L157" s="24">
        <f>SUMIFS('Aug-24 CREDIT MIS'!T:T,'Aug-24 CREDIT MIS'!S:S,"Reject",'Aug-24 CREDIT MIS'!E:E,'Aug Dashboard.'!B157,'Aug-24 CREDIT MIS'!I:I,'Aug Dashboard.'!A157,'Aug-24 CREDIT MIS'!N:N,'Aug Dashboard.'!$A$162)/100000</f>
        <v>8</v>
      </c>
      <c r="M157" s="24">
        <f>COUNTIFS('Aug-24 CREDIT MIS'!S:S,"Recommend",'Aug-24 CREDIT MIS'!E:E,'Aug Dashboard.'!B157,'Aug-24 CREDIT MIS'!I:I,'Aug Dashboard.'!A157,'Aug-24 CREDIT MIS'!N:N,'Aug Dashboard.'!$A$162)</f>
        <v>0</v>
      </c>
      <c r="N157" s="24">
        <f>SUMIFS('Aug-24 CREDIT MIS'!T:T,'Aug-24 CREDIT MIS'!S:S,"Recommend",'Aug-24 CREDIT MIS'!E:E,'Aug Dashboard.'!B157,'Aug-24 CREDIT MIS'!I:I,'Aug Dashboard.'!A157,'Aug-24 CREDIT MIS'!N:N,'Aug Dashboard.'!$A$162)/100000</f>
        <v>0</v>
      </c>
      <c r="O157" s="24">
        <f>COUNTIFS('Aug-24 CREDIT MIS'!S:S,"Query- Sales",'Aug-24 CREDIT MIS'!E:E,'Aug Dashboard.'!B157,'Aug-24 CREDIT MIS'!I:I,'Aug Dashboard.'!A157,'Aug-24 CREDIT MIS'!N:N,'Aug Dashboard.'!$A$162)</f>
        <v>1</v>
      </c>
      <c r="P157" s="24">
        <f>SUMIFS('Aug-24 CREDIT MIS'!T:T,'Aug-24 CREDIT MIS'!S:S,"Query- Sales",'Aug-24 CREDIT MIS'!E:E,'Aug Dashboard.'!B157,'Aug-24 CREDIT MIS'!I:I,'Aug Dashboard.'!A157,'Aug-24 CREDIT MIS'!N:N,'Aug Dashboard.'!$A$162)/100000</f>
        <v>9</v>
      </c>
      <c r="Q157" s="24">
        <f>COUNTIFS('Aug-24 CREDIT MIS'!S:S,"WIP- Credit",'Aug-24 CREDIT MIS'!E:E,'Aug Dashboard.'!B157,'Aug-24 CREDIT MIS'!I:I,'Aug Dashboard.'!A157,'Aug-24 CREDIT MIS'!N:N,'Aug Dashboard.'!$A$162)</f>
        <v>0</v>
      </c>
      <c r="R157" s="24">
        <f>SUMIFS('Aug-24 CREDIT MIS'!T:T,'Aug-24 CREDIT MIS'!S:S,"WIP- Credit",'Aug-24 CREDIT MIS'!E:E,'Aug Dashboard.'!B157,'Aug-24 CREDIT MIS'!I:I,'Aug Dashboard.'!A157,'Aug-24 CREDIT MIS'!N:N,'Aug Dashboard.'!$A$162)/100000</f>
        <v>0</v>
      </c>
      <c r="S157" s="24">
        <f>COUNTIFS('Aug-24 CREDIT MIS'!S:S,"Visit Pending",'Aug-24 CREDIT MIS'!E:E,'Aug Dashboard.'!B157,'Aug-24 CREDIT MIS'!I:I,'Aug Dashboard.'!A157,'Aug-24 CREDIT MIS'!N:N,'Aug Dashboard.'!$A$162)</f>
        <v>0</v>
      </c>
      <c r="T157" s="24">
        <f>SUMIFS('Aug-24 CREDIT MIS'!T:T,'Aug-24 CREDIT MIS'!S:S,"Visit Pending",'Aug-24 CREDIT MIS'!E:E,'Aug Dashboard.'!B157,'Aug-24 CREDIT MIS'!I:I,'Aug Dashboard.'!A157,'Aug-24 CREDIT MIS'!N:N,'Aug Dashboard.'!$A$162)/100000</f>
        <v>0</v>
      </c>
    </row>
    <row r="158" spans="1:20" x14ac:dyDescent="0.25">
      <c r="A158" s="55" t="s">
        <v>169</v>
      </c>
      <c r="B158" s="54" t="s">
        <v>41</v>
      </c>
      <c r="C158" s="24">
        <f>COUNTIFS('Aug-24 CREDIT MIS'!C:C,"&lt;01-08-2024",'Aug-24 CREDIT MIS'!E:E,'Aug Dashboard.'!B158,'Aug-24 CREDIT MIS'!I:I,'Aug Dashboard.'!A158,'Aug-24 CREDIT MIS'!N:N,"Mohan Shankar Sharma")</f>
        <v>0</v>
      </c>
      <c r="D158" s="24">
        <f>SUMIFS('Aug-24 CREDIT MIS'!T:T,'Aug-24 CREDIT MIS'!C:C,"&lt;01-08-2024",'Aug-24 CREDIT MIS'!E:E,'Aug Dashboard.'!B158,'Aug-24 CREDIT MIS'!I:I,'Aug Dashboard.'!A158,'Aug-24 CREDIT MIS'!N:N,"Mohan Shankar Sharma")/100000</f>
        <v>0</v>
      </c>
      <c r="E158" s="24">
        <f>COUNTIFS('Aug-24 CREDIT MIS'!C:C,"&gt;=01-08-2024",'Aug-24 CREDIT MIS'!E:E,'Aug Dashboard.'!B158,'Aug-24 CREDIT MIS'!I:I,'Aug Dashboard.'!A158,'Aug-24 CREDIT MIS'!N:N,"Mohan Shankar Sharma")</f>
        <v>2</v>
      </c>
      <c r="F158" s="24">
        <f>SUMIFS('Aug-24 CREDIT MIS'!T:T,'Aug-24 CREDIT MIS'!C:C,"&gt;=01-08-2024",'Aug-24 CREDIT MIS'!E:E,'Aug Dashboard.'!B158,'Aug-24 CREDIT MIS'!I:I,'Aug Dashboard.'!A158,'Aug-24 CREDIT MIS'!N:N,"Mohan Shankar Sharma")/100000</f>
        <v>11.5</v>
      </c>
      <c r="G158" s="24">
        <f t="shared" si="53"/>
        <v>2</v>
      </c>
      <c r="H158" s="24">
        <f t="shared" si="53"/>
        <v>11.5</v>
      </c>
      <c r="I158" s="24">
        <f>COUNTIFS('Aug-24 CREDIT MIS'!S:S,"Sanction",'Aug-24 CREDIT MIS'!E:E,'Aug Dashboard.'!B158,'Aug-24 CREDIT MIS'!I:I,'Aug Dashboard.'!A158,'Aug-24 CREDIT MIS'!N:N,'Aug Dashboard.'!$A$162)+COUNTIFS('Aug-24 CREDIT MIS'!S:S,"Disbursed",'Aug-24 CREDIT MIS'!E:E,'Aug Dashboard.'!B158,'Aug-24 CREDIT MIS'!I:I,'Aug Dashboard.'!A158,'Aug-24 CREDIT MIS'!N:N,'Aug Dashboard.'!$A$162)</f>
        <v>0</v>
      </c>
      <c r="J158" s="24">
        <f>SUMIFS('Aug-24 CREDIT MIS'!V:V,'Aug-24 CREDIT MIS'!S:S,"Sanction",'Aug-24 CREDIT MIS'!E:E,'Aug Dashboard.'!B158,'Aug-24 CREDIT MIS'!I:I,'Aug Dashboard.'!A158,'Aug-24 CREDIT MIS'!N:N,'Aug Dashboard.'!$A$162)/100000+SUMIFS('Aug-24 CREDIT MIS'!V:V,'Aug-24 CREDIT MIS'!S:S,"Disbursed",'Aug-24 CREDIT MIS'!E:E,'Aug Dashboard.'!B158,'Aug-24 CREDIT MIS'!I:I,'Aug Dashboard.'!A158,'Aug-24 CREDIT MIS'!N:N,'Aug Dashboard.'!$A$162)/100000</f>
        <v>0</v>
      </c>
      <c r="K158" s="24">
        <f>COUNTIFS('Aug-24 CREDIT MIS'!S:S,"Reject",'Aug-24 CREDIT MIS'!E:E,'Aug Dashboard.'!B158,'Aug-24 CREDIT MIS'!I:I,'Aug Dashboard.'!A158,'Aug-24 CREDIT MIS'!N:N,'Aug Dashboard.'!$A$162)</f>
        <v>1</v>
      </c>
      <c r="L158" s="24">
        <f>SUMIFS('Aug-24 CREDIT MIS'!T:T,'Aug-24 CREDIT MIS'!S:S,"Reject",'Aug-24 CREDIT MIS'!E:E,'Aug Dashboard.'!B158,'Aug-24 CREDIT MIS'!I:I,'Aug Dashboard.'!A158,'Aug-24 CREDIT MIS'!N:N,'Aug Dashboard.'!$A$162)/100000</f>
        <v>6</v>
      </c>
      <c r="M158" s="24">
        <f>COUNTIFS('Aug-24 CREDIT MIS'!S:S,"Recommend",'Aug-24 CREDIT MIS'!E:E,'Aug Dashboard.'!B158,'Aug-24 CREDIT MIS'!I:I,'Aug Dashboard.'!A158,'Aug-24 CREDIT MIS'!N:N,'Aug Dashboard.'!$A$162)</f>
        <v>0</v>
      </c>
      <c r="N158" s="24">
        <f>SUMIFS('Aug-24 CREDIT MIS'!T:T,'Aug-24 CREDIT MIS'!S:S,"Recommend",'Aug-24 CREDIT MIS'!E:E,'Aug Dashboard.'!B158,'Aug-24 CREDIT MIS'!I:I,'Aug Dashboard.'!A158,'Aug-24 CREDIT MIS'!N:N,'Aug Dashboard.'!$A$162)/100000</f>
        <v>0</v>
      </c>
      <c r="O158" s="24">
        <f>COUNTIFS('Aug-24 CREDIT MIS'!S:S,"Query- Sales",'Aug-24 CREDIT MIS'!E:E,'Aug Dashboard.'!B158,'Aug-24 CREDIT MIS'!I:I,'Aug Dashboard.'!A158,'Aug-24 CREDIT MIS'!N:N,'Aug Dashboard.'!$A$162)</f>
        <v>0</v>
      </c>
      <c r="P158" s="24">
        <f>SUMIFS('Aug-24 CREDIT MIS'!T:T,'Aug-24 CREDIT MIS'!S:S,"Query- Sales",'Aug-24 CREDIT MIS'!E:E,'Aug Dashboard.'!B158,'Aug-24 CREDIT MIS'!I:I,'Aug Dashboard.'!A158,'Aug-24 CREDIT MIS'!N:N,'Aug Dashboard.'!$A$162)/100000</f>
        <v>0</v>
      </c>
      <c r="Q158" s="24">
        <f>COUNTIFS('Aug-24 CREDIT MIS'!S:S,"WIP- Credit",'Aug-24 CREDIT MIS'!E:E,'Aug Dashboard.'!B158,'Aug-24 CREDIT MIS'!I:I,'Aug Dashboard.'!A158,'Aug-24 CREDIT MIS'!N:N,'Aug Dashboard.'!$A$162)</f>
        <v>1</v>
      </c>
      <c r="R158" s="24">
        <f>SUMIFS('Aug-24 CREDIT MIS'!T:T,'Aug-24 CREDIT MIS'!S:S,"WIP- Credit",'Aug-24 CREDIT MIS'!E:E,'Aug Dashboard.'!B158,'Aug-24 CREDIT MIS'!I:I,'Aug Dashboard.'!A158,'Aug-24 CREDIT MIS'!N:N,'Aug Dashboard.'!$A$162)/100000</f>
        <v>5.5</v>
      </c>
      <c r="S158" s="24">
        <f>COUNTIFS('Aug-24 CREDIT MIS'!S:S,"Visit Pending",'Aug-24 CREDIT MIS'!E:E,'Aug Dashboard.'!B158,'Aug-24 CREDIT MIS'!I:I,'Aug Dashboard.'!A158,'Aug-24 CREDIT MIS'!N:N,'Aug Dashboard.'!$A$162)</f>
        <v>0</v>
      </c>
      <c r="T158" s="24">
        <f>SUMIFS('Aug-24 CREDIT MIS'!T:T,'Aug-24 CREDIT MIS'!S:S,"Visit Pending",'Aug-24 CREDIT MIS'!E:E,'Aug Dashboard.'!B158,'Aug-24 CREDIT MIS'!I:I,'Aug Dashboard.'!A158,'Aug-24 CREDIT MIS'!N:N,'Aug Dashboard.'!$A$162)/100000</f>
        <v>0</v>
      </c>
    </row>
    <row r="159" spans="1:20" x14ac:dyDescent="0.25">
      <c r="A159" s="26" t="s">
        <v>168</v>
      </c>
      <c r="B159" s="26" t="s">
        <v>63</v>
      </c>
      <c r="C159" s="24">
        <f>COUNTIFS('Aug-24 CREDIT MIS'!C:C,"&lt;01-08-2024",'Aug-24 CREDIT MIS'!E:E,'Aug Dashboard.'!B159,'Aug-24 CREDIT MIS'!I:I,'Aug Dashboard.'!A159,'Aug-24 CREDIT MIS'!N:N,"Mohan Shankar Sharma")</f>
        <v>0</v>
      </c>
      <c r="D159" s="24">
        <f>SUMIFS('Aug-24 CREDIT MIS'!T:T,'Aug-24 CREDIT MIS'!C:C,"&lt;01-08-2024",'Aug-24 CREDIT MIS'!E:E,'Aug Dashboard.'!B159,'Aug-24 CREDIT MIS'!I:I,'Aug Dashboard.'!A159,'Aug-24 CREDIT MIS'!N:N,"Mohan Shankar Sharma")/100000</f>
        <v>0</v>
      </c>
      <c r="E159" s="24">
        <f>COUNTIFS('Aug-24 CREDIT MIS'!C:C,"&gt;=01-08-2024",'Aug-24 CREDIT MIS'!E:E,'Aug Dashboard.'!B159,'Aug-24 CREDIT MIS'!I:I,'Aug Dashboard.'!A159,'Aug-24 CREDIT MIS'!N:N,"Mohan Shankar Sharma")</f>
        <v>0</v>
      </c>
      <c r="F159" s="24">
        <f>SUMIFS('Aug-24 CREDIT MIS'!T:T,'Aug-24 CREDIT MIS'!C:C,"&gt;=01-08-2024",'Aug-24 CREDIT MIS'!E:E,'Aug Dashboard.'!B159,'Aug-24 CREDIT MIS'!I:I,'Aug Dashboard.'!A159,'Aug-24 CREDIT MIS'!N:N,"Mohan Shankar Sharma")/100000</f>
        <v>0</v>
      </c>
      <c r="G159" s="24">
        <f t="shared" si="53"/>
        <v>0</v>
      </c>
      <c r="H159" s="24">
        <f t="shared" si="53"/>
        <v>0</v>
      </c>
      <c r="I159" s="24">
        <f>COUNTIFS('Aug-24 CREDIT MIS'!S:S,"Sanction",'Aug-24 CREDIT MIS'!E:E,'Aug Dashboard.'!B159,'Aug-24 CREDIT MIS'!I:I,'Aug Dashboard.'!A159,'Aug-24 CREDIT MIS'!N:N,'Aug Dashboard.'!$A$162)+COUNTIFS('Aug-24 CREDIT MIS'!S:S,"Disbursed",'Aug-24 CREDIT MIS'!E:E,'Aug Dashboard.'!B159,'Aug-24 CREDIT MIS'!I:I,'Aug Dashboard.'!A159,'Aug-24 CREDIT MIS'!N:N,'Aug Dashboard.'!$A$162)</f>
        <v>0</v>
      </c>
      <c r="J159" s="24">
        <f>SUMIFS('Aug-24 CREDIT MIS'!V:V,'Aug-24 CREDIT MIS'!S:S,"Sanction",'Aug-24 CREDIT MIS'!E:E,'Aug Dashboard.'!B159,'Aug-24 CREDIT MIS'!I:I,'Aug Dashboard.'!A159,'Aug-24 CREDIT MIS'!N:N,'Aug Dashboard.'!$A$162)/100000+SUMIFS('Aug-24 CREDIT MIS'!V:V,'Aug-24 CREDIT MIS'!S:S,"Disbursed",'Aug-24 CREDIT MIS'!E:E,'Aug Dashboard.'!B159,'Aug-24 CREDIT MIS'!I:I,'Aug Dashboard.'!A159,'Aug-24 CREDIT MIS'!N:N,'Aug Dashboard.'!$A$162)/100000</f>
        <v>0</v>
      </c>
      <c r="K159" s="24">
        <f>COUNTIFS('Aug-24 CREDIT MIS'!S:S,"Reject",'Aug-24 CREDIT MIS'!E:E,'Aug Dashboard.'!B159,'Aug-24 CREDIT MIS'!I:I,'Aug Dashboard.'!A159,'Aug-24 CREDIT MIS'!N:N,'Aug Dashboard.'!$A$162)</f>
        <v>0</v>
      </c>
      <c r="L159" s="24">
        <f>SUMIFS('Aug-24 CREDIT MIS'!T:T,'Aug-24 CREDIT MIS'!S:S,"Reject",'Aug-24 CREDIT MIS'!E:E,'Aug Dashboard.'!B159,'Aug-24 CREDIT MIS'!I:I,'Aug Dashboard.'!A159,'Aug-24 CREDIT MIS'!N:N,'Aug Dashboard.'!$A$162)/100000</f>
        <v>0</v>
      </c>
      <c r="M159" s="24">
        <f>COUNTIFS('Aug-24 CREDIT MIS'!S:S,"Recommend",'Aug-24 CREDIT MIS'!E:E,'Aug Dashboard.'!B159,'Aug-24 CREDIT MIS'!I:I,'Aug Dashboard.'!A159,'Aug-24 CREDIT MIS'!N:N,'Aug Dashboard.'!$A$162)</f>
        <v>0</v>
      </c>
      <c r="N159" s="24">
        <f>SUMIFS('Aug-24 CREDIT MIS'!T:T,'Aug-24 CREDIT MIS'!S:S,"Recommend",'Aug-24 CREDIT MIS'!E:E,'Aug Dashboard.'!B159,'Aug-24 CREDIT MIS'!I:I,'Aug Dashboard.'!A159,'Aug-24 CREDIT MIS'!N:N,'Aug Dashboard.'!$A$162)/100000</f>
        <v>0</v>
      </c>
      <c r="O159" s="24">
        <f>COUNTIFS('Aug-24 CREDIT MIS'!S:S,"Query- Sales",'Aug-24 CREDIT MIS'!E:E,'Aug Dashboard.'!B159,'Aug-24 CREDIT MIS'!I:I,'Aug Dashboard.'!A159,'Aug-24 CREDIT MIS'!N:N,'Aug Dashboard.'!$A$162)</f>
        <v>0</v>
      </c>
      <c r="P159" s="24">
        <f>SUMIFS('Aug-24 CREDIT MIS'!T:T,'Aug-24 CREDIT MIS'!S:S,"Query- Sales",'Aug-24 CREDIT MIS'!E:E,'Aug Dashboard.'!B159,'Aug-24 CREDIT MIS'!I:I,'Aug Dashboard.'!A159,'Aug-24 CREDIT MIS'!N:N,'Aug Dashboard.'!$A$162)/100000</f>
        <v>0</v>
      </c>
      <c r="Q159" s="24">
        <f>COUNTIFS('Aug-24 CREDIT MIS'!S:S,"WIP- Credit",'Aug-24 CREDIT MIS'!E:E,'Aug Dashboard.'!B159,'Aug-24 CREDIT MIS'!I:I,'Aug Dashboard.'!A159,'Aug-24 CREDIT MIS'!N:N,'Aug Dashboard.'!$A$162)</f>
        <v>0</v>
      </c>
      <c r="R159" s="24">
        <f>SUMIFS('Aug-24 CREDIT MIS'!T:T,'Aug-24 CREDIT MIS'!S:S,"WIP- Credit",'Aug-24 CREDIT MIS'!E:E,'Aug Dashboard.'!B159,'Aug-24 CREDIT MIS'!I:I,'Aug Dashboard.'!A159,'Aug-24 CREDIT MIS'!N:N,'Aug Dashboard.'!$A$162)/100000</f>
        <v>0</v>
      </c>
      <c r="S159" s="24">
        <f>COUNTIFS('Aug-24 CREDIT MIS'!S:S,"Visit Pending",'Aug-24 CREDIT MIS'!E:E,'Aug Dashboard.'!B159,'Aug-24 CREDIT MIS'!I:I,'Aug Dashboard.'!A159,'Aug-24 CREDIT MIS'!N:N,'Aug Dashboard.'!$A$162)</f>
        <v>0</v>
      </c>
      <c r="T159" s="24">
        <f>SUMIFS('Aug-24 CREDIT MIS'!T:T,'Aug-24 CREDIT MIS'!S:S,"Visit Pending",'Aug-24 CREDIT MIS'!E:E,'Aug Dashboard.'!B159,'Aug-24 CREDIT MIS'!I:I,'Aug Dashboard.'!A159,'Aug-24 CREDIT MIS'!N:N,'Aug Dashboard.'!$A$162)/100000</f>
        <v>0</v>
      </c>
    </row>
    <row r="160" spans="1:20" x14ac:dyDescent="0.25">
      <c r="A160" s="26" t="s">
        <v>167</v>
      </c>
      <c r="B160" s="26" t="s">
        <v>9</v>
      </c>
      <c r="C160" s="24">
        <f>COUNTIFS('Aug-24 CREDIT MIS'!C:C,"&lt;01-08-2024",'Aug-24 CREDIT MIS'!E:E,'Aug Dashboard.'!B160,'Aug-24 CREDIT MIS'!I:I,'Aug Dashboard.'!A160,'Aug-24 CREDIT MIS'!N:N,"Mohan Shankar Sharma")</f>
        <v>0</v>
      </c>
      <c r="D160" s="24">
        <f>SUMIFS('Aug-24 CREDIT MIS'!T:T,'Aug-24 CREDIT MIS'!C:C,"&lt;01-08-2024",'Aug-24 CREDIT MIS'!E:E,'Aug Dashboard.'!B160,'Aug-24 CREDIT MIS'!I:I,'Aug Dashboard.'!A160,'Aug-24 CREDIT MIS'!N:N,"Mohan Shankar Sharma")/100000</f>
        <v>0</v>
      </c>
      <c r="E160" s="24">
        <f>COUNTIFS('Aug-24 CREDIT MIS'!C:C,"&gt;=01-08-2024",'Aug-24 CREDIT MIS'!E:E,'Aug Dashboard.'!B160,'Aug-24 CREDIT MIS'!I:I,'Aug Dashboard.'!A160,'Aug-24 CREDIT MIS'!N:N,"Mohan Shankar Sharma")</f>
        <v>1</v>
      </c>
      <c r="F160" s="24">
        <f>SUMIFS('Aug-24 CREDIT MIS'!T:T,'Aug-24 CREDIT MIS'!C:C,"&gt;=01-08-2024",'Aug-24 CREDIT MIS'!E:E,'Aug Dashboard.'!B160,'Aug-24 CREDIT MIS'!I:I,'Aug Dashboard.'!A160,'Aug-24 CREDIT MIS'!N:N,"Mohan Shankar Sharma")/100000</f>
        <v>4</v>
      </c>
      <c r="G160" s="24">
        <f t="shared" si="53"/>
        <v>1</v>
      </c>
      <c r="H160" s="24">
        <f t="shared" si="53"/>
        <v>4</v>
      </c>
      <c r="I160" s="24">
        <f>COUNTIFS('Aug-24 CREDIT MIS'!S:S,"Sanction",'Aug-24 CREDIT MIS'!E:E,'Aug Dashboard.'!B160,'Aug-24 CREDIT MIS'!I:I,'Aug Dashboard.'!A160,'Aug-24 CREDIT MIS'!N:N,'Aug Dashboard.'!$A$162)+COUNTIFS('Aug-24 CREDIT MIS'!S:S,"Disbursed",'Aug-24 CREDIT MIS'!E:E,'Aug Dashboard.'!B160,'Aug-24 CREDIT MIS'!I:I,'Aug Dashboard.'!A160,'Aug-24 CREDIT MIS'!N:N,'Aug Dashboard.'!$A$162)</f>
        <v>0</v>
      </c>
      <c r="J160" s="24">
        <f>SUMIFS('Aug-24 CREDIT MIS'!V:V,'Aug-24 CREDIT MIS'!S:S,"Sanction",'Aug-24 CREDIT MIS'!E:E,'Aug Dashboard.'!B160,'Aug-24 CREDIT MIS'!I:I,'Aug Dashboard.'!A160,'Aug-24 CREDIT MIS'!N:N,'Aug Dashboard.'!$A$162)/100000+SUMIFS('Aug-24 CREDIT MIS'!V:V,'Aug-24 CREDIT MIS'!S:S,"Disbursed",'Aug-24 CREDIT MIS'!E:E,'Aug Dashboard.'!B160,'Aug-24 CREDIT MIS'!I:I,'Aug Dashboard.'!A160,'Aug-24 CREDIT MIS'!N:N,'Aug Dashboard.'!$A$162)/100000</f>
        <v>0</v>
      </c>
      <c r="K160" s="24">
        <f>COUNTIFS('Aug-24 CREDIT MIS'!S:S,"Reject",'Aug-24 CREDIT MIS'!E:E,'Aug Dashboard.'!B160,'Aug-24 CREDIT MIS'!I:I,'Aug Dashboard.'!A160,'Aug-24 CREDIT MIS'!N:N,'Aug Dashboard.'!$A$162)</f>
        <v>0</v>
      </c>
      <c r="L160" s="24">
        <f>SUMIFS('Aug-24 CREDIT MIS'!T:T,'Aug-24 CREDIT MIS'!S:S,"Reject",'Aug-24 CREDIT MIS'!E:E,'Aug Dashboard.'!B160,'Aug-24 CREDIT MIS'!I:I,'Aug Dashboard.'!A160,'Aug-24 CREDIT MIS'!N:N,'Aug Dashboard.'!$A$162)/100000</f>
        <v>0</v>
      </c>
      <c r="M160" s="24">
        <f>COUNTIFS('Aug-24 CREDIT MIS'!S:S,"Recommend",'Aug-24 CREDIT MIS'!E:E,'Aug Dashboard.'!B160,'Aug-24 CREDIT MIS'!I:I,'Aug Dashboard.'!A160,'Aug-24 CREDIT MIS'!N:N,'Aug Dashboard.'!$A$162)</f>
        <v>0</v>
      </c>
      <c r="N160" s="24">
        <f>SUMIFS('Aug-24 CREDIT MIS'!T:T,'Aug-24 CREDIT MIS'!S:S,"Recommend",'Aug-24 CREDIT MIS'!E:E,'Aug Dashboard.'!B160,'Aug-24 CREDIT MIS'!I:I,'Aug Dashboard.'!A160,'Aug-24 CREDIT MIS'!N:N,'Aug Dashboard.'!$A$162)/100000</f>
        <v>0</v>
      </c>
      <c r="O160" s="24">
        <f>COUNTIFS('Aug-24 CREDIT MIS'!S:S,"Query- Sales",'Aug-24 CREDIT MIS'!E:E,'Aug Dashboard.'!B160,'Aug-24 CREDIT MIS'!I:I,'Aug Dashboard.'!A160,'Aug-24 CREDIT MIS'!N:N,'Aug Dashboard.'!$A$162)</f>
        <v>0</v>
      </c>
      <c r="P160" s="24">
        <f>SUMIFS('Aug-24 CREDIT MIS'!T:T,'Aug-24 CREDIT MIS'!S:S,"Query- Sales",'Aug-24 CREDIT MIS'!E:E,'Aug Dashboard.'!B160,'Aug-24 CREDIT MIS'!I:I,'Aug Dashboard.'!A160,'Aug-24 CREDIT MIS'!N:N,'Aug Dashboard.'!$A$162)/100000</f>
        <v>0</v>
      </c>
      <c r="Q160" s="24">
        <f>COUNTIFS('Aug-24 CREDIT MIS'!S:S,"WIP- Credit",'Aug-24 CREDIT MIS'!E:E,'Aug Dashboard.'!B160,'Aug-24 CREDIT MIS'!I:I,'Aug Dashboard.'!A160,'Aug-24 CREDIT MIS'!N:N,'Aug Dashboard.'!$A$162)</f>
        <v>0</v>
      </c>
      <c r="R160" s="24">
        <f>SUMIFS('Aug-24 CREDIT MIS'!T:T,'Aug-24 CREDIT MIS'!S:S,"WIP- Credit",'Aug-24 CREDIT MIS'!E:E,'Aug Dashboard.'!B160,'Aug-24 CREDIT MIS'!I:I,'Aug Dashboard.'!A160,'Aug-24 CREDIT MIS'!N:N,'Aug Dashboard.'!$A$162)/100000</f>
        <v>0</v>
      </c>
      <c r="S160" s="24">
        <f>COUNTIFS('Aug-24 CREDIT MIS'!S:S,"Visit Pending",'Aug-24 CREDIT MIS'!E:E,'Aug Dashboard.'!B160,'Aug-24 CREDIT MIS'!I:I,'Aug Dashboard.'!A160,'Aug-24 CREDIT MIS'!N:N,'Aug Dashboard.'!$A$162)</f>
        <v>1</v>
      </c>
      <c r="T160" s="24">
        <f>SUMIFS('Aug-24 CREDIT MIS'!T:T,'Aug-24 CREDIT MIS'!S:S,"Visit Pending",'Aug-24 CREDIT MIS'!E:E,'Aug Dashboard.'!B160,'Aug-24 CREDIT MIS'!I:I,'Aug Dashboard.'!A160,'Aug-24 CREDIT MIS'!N:N,'Aug Dashboard.'!$A$162)/100000</f>
        <v>4</v>
      </c>
    </row>
    <row r="161" spans="1:20" x14ac:dyDescent="0.25">
      <c r="A161" s="55" t="s">
        <v>166</v>
      </c>
      <c r="B161" s="54" t="s">
        <v>165</v>
      </c>
      <c r="C161" s="24">
        <f>COUNTIFS('Aug-24 CREDIT MIS'!C:C,"&lt;01-08-2024",'Aug-24 CREDIT MIS'!E:E,'Aug Dashboard.'!B161,'Aug-24 CREDIT MIS'!I:I,'Aug Dashboard.'!A161,'Aug-24 CREDIT MIS'!N:N,"Mohan Shankar Sharma")</f>
        <v>0</v>
      </c>
      <c r="D161" s="24">
        <f>SUMIFS('Aug-24 CREDIT MIS'!T:T,'Aug-24 CREDIT MIS'!C:C,"&lt;01-08-2024",'Aug-24 CREDIT MIS'!E:E,'Aug Dashboard.'!B161,'Aug-24 CREDIT MIS'!I:I,'Aug Dashboard.'!A161,'Aug-24 CREDIT MIS'!N:N,"Mohan Shankar Sharma")/100000</f>
        <v>0</v>
      </c>
      <c r="E161" s="24">
        <f>COUNTIFS('Aug-24 CREDIT MIS'!C:C,"&gt;=01-08-2024",'Aug-24 CREDIT MIS'!E:E,'Aug Dashboard.'!B161,'Aug-24 CREDIT MIS'!I:I,'Aug Dashboard.'!A161,'Aug-24 CREDIT MIS'!N:N,"Mohan Shankar Sharma")</f>
        <v>2</v>
      </c>
      <c r="F161" s="24">
        <f>SUMIFS('Aug-24 CREDIT MIS'!T:T,'Aug-24 CREDIT MIS'!C:C,"&gt;=01-08-2024",'Aug-24 CREDIT MIS'!E:E,'Aug Dashboard.'!B161,'Aug-24 CREDIT MIS'!I:I,'Aug Dashboard.'!A161,'Aug-24 CREDIT MIS'!N:N,"Mohan Shankar Sharma")/100000</f>
        <v>14</v>
      </c>
      <c r="G161" s="24">
        <f t="shared" si="53"/>
        <v>2</v>
      </c>
      <c r="H161" s="24">
        <f t="shared" si="53"/>
        <v>14</v>
      </c>
      <c r="I161" s="24">
        <f>COUNTIFS('Aug-24 CREDIT MIS'!S:S,"Sanction",'Aug-24 CREDIT MIS'!E:E,'Aug Dashboard.'!B161,'Aug-24 CREDIT MIS'!I:I,'Aug Dashboard.'!A161,'Aug-24 CREDIT MIS'!N:N,'Aug Dashboard.'!$A$162)+COUNTIFS('Aug-24 CREDIT MIS'!S:S,"Disbursed",'Aug-24 CREDIT MIS'!E:E,'Aug Dashboard.'!B161,'Aug-24 CREDIT MIS'!I:I,'Aug Dashboard.'!A161,'Aug-24 CREDIT MIS'!N:N,'Aug Dashboard.'!$A$162)</f>
        <v>0</v>
      </c>
      <c r="J161" s="24">
        <f>SUMIFS('Aug-24 CREDIT MIS'!V:V,'Aug-24 CREDIT MIS'!S:S,"Sanction",'Aug-24 CREDIT MIS'!E:E,'Aug Dashboard.'!B161,'Aug-24 CREDIT MIS'!I:I,'Aug Dashboard.'!A161,'Aug-24 CREDIT MIS'!N:N,'Aug Dashboard.'!$A$162)/100000+SUMIFS('Aug-24 CREDIT MIS'!V:V,'Aug-24 CREDIT MIS'!S:S,"Disbursed",'Aug-24 CREDIT MIS'!E:E,'Aug Dashboard.'!B161,'Aug-24 CREDIT MIS'!I:I,'Aug Dashboard.'!A161,'Aug-24 CREDIT MIS'!N:N,'Aug Dashboard.'!$A$162)/100000</f>
        <v>0</v>
      </c>
      <c r="K161" s="24">
        <f>COUNTIFS('Aug-24 CREDIT MIS'!S:S,"Reject",'Aug-24 CREDIT MIS'!E:E,'Aug Dashboard.'!B161,'Aug-24 CREDIT MIS'!I:I,'Aug Dashboard.'!A161,'Aug-24 CREDIT MIS'!N:N,'Aug Dashboard.'!$A$162)</f>
        <v>0</v>
      </c>
      <c r="L161" s="24">
        <f>SUMIFS('Aug-24 CREDIT MIS'!T:T,'Aug-24 CREDIT MIS'!S:S,"Reject",'Aug-24 CREDIT MIS'!E:E,'Aug Dashboard.'!B161,'Aug-24 CREDIT MIS'!I:I,'Aug Dashboard.'!A161,'Aug-24 CREDIT MIS'!N:N,'Aug Dashboard.'!$A$162)/100000</f>
        <v>0</v>
      </c>
      <c r="M161" s="24">
        <f>COUNTIFS('Aug-24 CREDIT MIS'!S:S,"Recommend",'Aug-24 CREDIT MIS'!E:E,'Aug Dashboard.'!B161,'Aug-24 CREDIT MIS'!I:I,'Aug Dashboard.'!A161,'Aug-24 CREDIT MIS'!N:N,'Aug Dashboard.'!$A$162)</f>
        <v>0</v>
      </c>
      <c r="N161" s="24">
        <f>SUMIFS('Aug-24 CREDIT MIS'!T:T,'Aug-24 CREDIT MIS'!S:S,"Recommend",'Aug-24 CREDIT MIS'!E:E,'Aug Dashboard.'!B161,'Aug-24 CREDIT MIS'!I:I,'Aug Dashboard.'!A161,'Aug-24 CREDIT MIS'!N:N,'Aug Dashboard.'!$A$162)/100000</f>
        <v>0</v>
      </c>
      <c r="O161" s="24">
        <f>COUNTIFS('Aug-24 CREDIT MIS'!S:S,"Query- Sales",'Aug-24 CREDIT MIS'!E:E,'Aug Dashboard.'!B161,'Aug-24 CREDIT MIS'!I:I,'Aug Dashboard.'!A161,'Aug-24 CREDIT MIS'!N:N,'Aug Dashboard.'!$A$162)</f>
        <v>1</v>
      </c>
      <c r="P161" s="24">
        <f>SUMIFS('Aug-24 CREDIT MIS'!T:T,'Aug-24 CREDIT MIS'!S:S,"Query- Sales",'Aug-24 CREDIT MIS'!E:E,'Aug Dashboard.'!B161,'Aug-24 CREDIT MIS'!I:I,'Aug Dashboard.'!A161,'Aug-24 CREDIT MIS'!N:N,'Aug Dashboard.'!$A$162)/100000</f>
        <v>8</v>
      </c>
      <c r="Q161" s="24">
        <f>COUNTIFS('Aug-24 CREDIT MIS'!S:S,"WIP- Credit",'Aug-24 CREDIT MIS'!E:E,'Aug Dashboard.'!B161,'Aug-24 CREDIT MIS'!I:I,'Aug Dashboard.'!A161,'Aug-24 CREDIT MIS'!N:N,'Aug Dashboard.'!$A$162)</f>
        <v>1</v>
      </c>
      <c r="R161" s="24">
        <f>SUMIFS('Aug-24 CREDIT MIS'!T:T,'Aug-24 CREDIT MIS'!S:S,"WIP- Credit",'Aug-24 CREDIT MIS'!E:E,'Aug Dashboard.'!B161,'Aug-24 CREDIT MIS'!I:I,'Aug Dashboard.'!A161,'Aug-24 CREDIT MIS'!N:N,'Aug Dashboard.'!$A$162)/100000</f>
        <v>6</v>
      </c>
      <c r="S161" s="24">
        <f>COUNTIFS('Aug-24 CREDIT MIS'!S:S,"Visit Pending",'Aug-24 CREDIT MIS'!E:E,'Aug Dashboard.'!B161,'Aug-24 CREDIT MIS'!I:I,'Aug Dashboard.'!A161,'Aug-24 CREDIT MIS'!N:N,'Aug Dashboard.'!$A$162)</f>
        <v>0</v>
      </c>
      <c r="T161" s="24">
        <f>SUMIFS('Aug-24 CREDIT MIS'!T:T,'Aug-24 CREDIT MIS'!S:S,"Visit Pending",'Aug-24 CREDIT MIS'!E:E,'Aug Dashboard.'!B161,'Aug-24 CREDIT MIS'!I:I,'Aug Dashboard.'!A161,'Aug-24 CREDIT MIS'!N:N,'Aug Dashboard.'!$A$162)/100000</f>
        <v>0</v>
      </c>
    </row>
    <row r="162" spans="1:20" ht="15" customHeight="1" x14ac:dyDescent="0.25">
      <c r="A162" s="166" t="s">
        <v>78</v>
      </c>
      <c r="B162" s="167"/>
      <c r="C162" s="24">
        <f t="shared" ref="C162:T162" si="54">SUM(C156:C161)</f>
        <v>1</v>
      </c>
      <c r="D162" s="24">
        <f t="shared" si="54"/>
        <v>9</v>
      </c>
      <c r="E162" s="24">
        <f t="shared" si="54"/>
        <v>8</v>
      </c>
      <c r="F162" s="24">
        <f t="shared" si="54"/>
        <v>50.5</v>
      </c>
      <c r="G162" s="24">
        <f t="shared" si="54"/>
        <v>9</v>
      </c>
      <c r="H162" s="24">
        <f t="shared" si="54"/>
        <v>59.5</v>
      </c>
      <c r="I162" s="24">
        <f t="shared" si="54"/>
        <v>1</v>
      </c>
      <c r="J162" s="24">
        <f t="shared" si="54"/>
        <v>5.5</v>
      </c>
      <c r="K162" s="24">
        <f t="shared" si="54"/>
        <v>2</v>
      </c>
      <c r="L162" s="24">
        <f t="shared" si="54"/>
        <v>14</v>
      </c>
      <c r="M162" s="24">
        <f t="shared" si="54"/>
        <v>0</v>
      </c>
      <c r="N162" s="24">
        <f t="shared" si="54"/>
        <v>0</v>
      </c>
      <c r="O162" s="24">
        <f t="shared" si="54"/>
        <v>2</v>
      </c>
      <c r="P162" s="24">
        <f t="shared" si="54"/>
        <v>17</v>
      </c>
      <c r="Q162" s="24">
        <f t="shared" si="54"/>
        <v>2</v>
      </c>
      <c r="R162" s="24">
        <f t="shared" si="54"/>
        <v>11.5</v>
      </c>
      <c r="S162" s="24">
        <f t="shared" si="54"/>
        <v>2</v>
      </c>
      <c r="T162" s="24">
        <f t="shared" si="54"/>
        <v>8</v>
      </c>
    </row>
    <row r="163" spans="1:20" ht="17.100000000000001" customHeight="1" x14ac:dyDescent="0.25">
      <c r="A163" s="168" t="s">
        <v>164</v>
      </c>
      <c r="B163" s="169"/>
      <c r="C163" s="53">
        <f t="shared" ref="C163:T163" si="55">SUM(C155,C131,C124,C107,C132,C162)</f>
        <v>7</v>
      </c>
      <c r="D163" s="53">
        <f t="shared" si="55"/>
        <v>140.9</v>
      </c>
      <c r="E163" s="53">
        <f t="shared" si="55"/>
        <v>63</v>
      </c>
      <c r="F163" s="53">
        <f t="shared" si="55"/>
        <v>420.29</v>
      </c>
      <c r="G163" s="53">
        <f t="shared" si="55"/>
        <v>70</v>
      </c>
      <c r="H163" s="53">
        <f t="shared" si="55"/>
        <v>561.19000000000005</v>
      </c>
      <c r="I163" s="53">
        <f t="shared" si="55"/>
        <v>5</v>
      </c>
      <c r="J163" s="53">
        <f t="shared" si="55"/>
        <v>21.3</v>
      </c>
      <c r="K163" s="53">
        <f t="shared" si="55"/>
        <v>15</v>
      </c>
      <c r="L163" s="53">
        <f t="shared" si="55"/>
        <v>110.89</v>
      </c>
      <c r="M163" s="53">
        <f t="shared" si="55"/>
        <v>7</v>
      </c>
      <c r="N163" s="53">
        <f t="shared" si="55"/>
        <v>57.7</v>
      </c>
      <c r="O163" s="53">
        <f t="shared" si="55"/>
        <v>14</v>
      </c>
      <c r="P163" s="53">
        <f t="shared" si="55"/>
        <v>140</v>
      </c>
      <c r="Q163" s="53">
        <f t="shared" si="55"/>
        <v>13</v>
      </c>
      <c r="R163" s="53">
        <f t="shared" si="55"/>
        <v>81</v>
      </c>
      <c r="S163" s="53">
        <f t="shared" si="55"/>
        <v>15</v>
      </c>
      <c r="T163" s="53">
        <f t="shared" si="55"/>
        <v>96.7</v>
      </c>
    </row>
    <row r="164" spans="1:20" ht="15" customHeight="1" x14ac:dyDescent="0.25">
      <c r="A164" s="52" t="s">
        <v>163</v>
      </c>
      <c r="B164" s="45" t="s">
        <v>13</v>
      </c>
      <c r="C164" s="42">
        <f>COUNTIFS('Aug-24 CREDIT MIS'!C:C,"&lt;01-08-2024",'Aug-24 CREDIT MIS'!E:E,'Aug Dashboard.'!B164,'Aug-24 CREDIT MIS'!I:I,'Aug Dashboard.'!A164,'Aug-24 CREDIT MIS'!N:N,"Manoj Chauhan")</f>
        <v>1</v>
      </c>
      <c r="D164" s="42">
        <f>SUMIFS('Aug-24 CREDIT MIS'!T:T,'Aug-24 CREDIT MIS'!C:C,"&lt;01-08-2024",'Aug-24 CREDIT MIS'!E:E,'Aug Dashboard.'!B164,'Aug-24 CREDIT MIS'!I:I,'Aug Dashboard.'!A164,'Aug-24 CREDIT MIS'!N:N,"Manoj Chauhan")/100000</f>
        <v>9.9999900000000004</v>
      </c>
      <c r="E164" s="42">
        <f>COUNTIFS('Aug-24 CREDIT MIS'!C:C,"&gt;=01-08-2024",'Aug-24 CREDIT MIS'!E:E,'Aug Dashboard.'!B164,'Aug-24 CREDIT MIS'!I:I,'Aug Dashboard.'!A164,'Aug-24 CREDIT MIS'!N:N,"Manoj Chauhan")</f>
        <v>0</v>
      </c>
      <c r="F164" s="43">
        <f>SUMIFS('Aug-24 CREDIT MIS'!T:T,'Aug-24 CREDIT MIS'!C:C,"&gt;=01-08-2024",'Aug-24 CREDIT MIS'!E:E,'Aug Dashboard.'!B164,'Aug-24 CREDIT MIS'!I:I,'Aug Dashboard.'!A164,'Aug-24 CREDIT MIS'!N:N,"Manoj Chauhan")/100000</f>
        <v>0</v>
      </c>
      <c r="G164" s="44">
        <f t="shared" ref="G164:G177" si="56">E164+C164</f>
        <v>1</v>
      </c>
      <c r="H164" s="43">
        <f t="shared" ref="H164:H177" si="57">F164+D164</f>
        <v>9.9999900000000004</v>
      </c>
      <c r="I164" s="44">
        <f>COUNTIFS('Aug-24 CREDIT MIS'!S:S,"Sanction",'Aug-24 CREDIT MIS'!E:E,'Aug Dashboard.'!B164,'Aug-24 CREDIT MIS'!I:I,'Aug Dashboard.'!A164,'Aug-24 CREDIT MIS'!N:N,"Manoj Chauhan")+COUNTIFS('Aug-24 CREDIT MIS'!S:S,"Disbursed",'Aug-24 CREDIT MIS'!E:E,'Aug Dashboard.'!B164,'Aug-24 CREDIT MIS'!I:I,'Aug Dashboard.'!A164,'Aug-24 CREDIT MIS'!N:N,"Manoj Chauhan")</f>
        <v>0</v>
      </c>
      <c r="J164" s="43">
        <f>SUMIFS('Aug-24 CREDIT MIS'!V:V,'Aug-24 CREDIT MIS'!S:S,"Sanction",'Aug-24 CREDIT MIS'!E:E,'Aug Dashboard.'!B164,'Aug-24 CREDIT MIS'!I:I,'Aug Dashboard.'!A164,'Aug-24 CREDIT MIS'!N:N,"Manoj Chauhan")/100000+SUMIFS('Aug-24 CREDIT MIS'!V:V,'Aug-24 CREDIT MIS'!S:S,"Disbursed",'Aug-24 CREDIT MIS'!E:E,'Aug Dashboard.'!B164,'Aug-24 CREDIT MIS'!I:I,'Aug Dashboard.'!A164,'Aug-24 CREDIT MIS'!N:N,"Manoj Chauhan")/100000</f>
        <v>0</v>
      </c>
      <c r="K164" s="44">
        <f>COUNTIFS('Aug-24 CREDIT MIS'!S:S,"Reject",'Aug-24 CREDIT MIS'!E:E,'Aug Dashboard.'!B164,'Aug-24 CREDIT MIS'!I:I,'Aug Dashboard.'!A164,'Aug-24 CREDIT MIS'!N:N,"Manoj Chauhan")</f>
        <v>1</v>
      </c>
      <c r="L164" s="43">
        <f>SUMIFS('Aug-24 CREDIT MIS'!T:T,'Aug-24 CREDIT MIS'!S:S,"Reject",'Aug-24 CREDIT MIS'!E:E,'Aug Dashboard.'!B164,'Aug-24 CREDIT MIS'!I:I,'Aug Dashboard.'!A164,'Aug-24 CREDIT MIS'!N:N,"Manoj Chauhan")/100000</f>
        <v>9.9999900000000004</v>
      </c>
      <c r="M164" s="44">
        <f>COUNTIFS('Aug-24 CREDIT MIS'!S:S,"Recommend",'Aug-24 CREDIT MIS'!E:E,'Aug Dashboard.'!B164,'Aug-24 CREDIT MIS'!I:I,'Aug Dashboard.'!A164,'Aug-24 CREDIT MIS'!N:N,"Manoj Chauhan")</f>
        <v>0</v>
      </c>
      <c r="N164" s="43">
        <f>SUMIFS('Aug-24 CREDIT MIS'!T:T,'Aug-24 CREDIT MIS'!S:S,"Recommend",'Aug-24 CREDIT MIS'!E:E,'Aug Dashboard.'!B164,'Aug-24 CREDIT MIS'!I:I,'Aug Dashboard.'!A164,'Aug-24 CREDIT MIS'!N:N,"Manoj Chauhan")/100000</f>
        <v>0</v>
      </c>
      <c r="O164" s="44">
        <f>COUNTIFS('Aug-24 CREDIT MIS'!S:S,"Query- Sales",'Aug-24 CREDIT MIS'!E:E,'Aug Dashboard.'!B164,'Aug-24 CREDIT MIS'!I:I,'Aug Dashboard.'!A164,'Aug-24 CREDIT MIS'!N:N,"Manoj Chauhan")</f>
        <v>0</v>
      </c>
      <c r="P164" s="43">
        <f>SUMIFS('Aug-24 CREDIT MIS'!T:T,'Aug-24 CREDIT MIS'!S:S,"Query- Sales",'Aug-24 CREDIT MIS'!E:E,'Aug Dashboard.'!B164,'Aug-24 CREDIT MIS'!I:I,'Aug Dashboard.'!A164,'Aug-24 CREDIT MIS'!N:N,"Manoj Chauhan")/100000</f>
        <v>0</v>
      </c>
      <c r="Q164" s="42">
        <f>COUNTIFS('Aug-24 CREDIT MIS'!S:S,"WIP- Credit",'Aug-24 CREDIT MIS'!E:E,'Aug Dashboard.'!B164,'Aug-24 CREDIT MIS'!I:I,'Aug Dashboard.'!A164,'Aug-24 CREDIT MIS'!N:N,"Manoj Chauhan")</f>
        <v>0</v>
      </c>
      <c r="R164" s="42">
        <f>SUMIFS('Aug-24 CREDIT MIS'!T:T,'Aug-24 CREDIT MIS'!S:S,"WIP- Credit",'Aug-24 CREDIT MIS'!E:E,'Aug Dashboard.'!B164,'Aug-24 CREDIT MIS'!I:I,'Aug Dashboard.'!A164,'Aug-24 CREDIT MIS'!N:N,"Manoj Chauhan")/100000</f>
        <v>0</v>
      </c>
      <c r="S164" s="42">
        <f>COUNTIFS('Aug-24 CREDIT MIS'!S:S,"Visit Pending",'Aug-24 CREDIT MIS'!E:E,'Aug Dashboard.'!B164,'Aug-24 CREDIT MIS'!I:I,'Aug Dashboard.'!A164,'Aug-24 CREDIT MIS'!N:N,"Manoj Chauhan")</f>
        <v>0</v>
      </c>
      <c r="T164" s="42">
        <f>SUMIFS('Aug-24 CREDIT MIS'!T:T,'Aug-24 CREDIT MIS'!S:S,"Visit Pending",'Aug-24 CREDIT MIS'!E:E,'Aug Dashboard.'!B164,'Aug-24 CREDIT MIS'!I:I,'Aug Dashboard.'!A164,'Aug-24 CREDIT MIS'!N:N,"Manoj Chauhan")/100000</f>
        <v>0</v>
      </c>
    </row>
    <row r="165" spans="1:20" x14ac:dyDescent="0.25">
      <c r="A165" s="51" t="s">
        <v>126</v>
      </c>
      <c r="B165" s="45" t="s">
        <v>13</v>
      </c>
      <c r="C165" s="42">
        <f>COUNTIFS('Aug-24 CREDIT MIS'!C:C,"&lt;01-08-2024",'Aug-24 CREDIT MIS'!E:E,'Aug Dashboard.'!B165,'Aug-24 CREDIT MIS'!I:I,'Aug Dashboard.'!A165,'Aug-24 CREDIT MIS'!N:N,"Manoj Chauhan")</f>
        <v>2</v>
      </c>
      <c r="D165" s="42">
        <f>SUMIFS('Aug-24 CREDIT MIS'!T:T,'Aug-24 CREDIT MIS'!C:C,"&lt;01-08-2024",'Aug-24 CREDIT MIS'!E:E,'Aug Dashboard.'!B165,'Aug-24 CREDIT MIS'!I:I,'Aug Dashboard.'!A165,'Aug-24 CREDIT MIS'!N:N,"Manoj Chauhan")/100000</f>
        <v>14.9</v>
      </c>
      <c r="E165" s="42">
        <f>COUNTIFS('Aug-24 CREDIT MIS'!C:C,"&gt;=01-08-2024",'Aug-24 CREDIT MIS'!E:E,'Aug Dashboard.'!B165,'Aug-24 CREDIT MIS'!I:I,'Aug Dashboard.'!A165,'Aug-24 CREDIT MIS'!N:N,"Manoj Chauhan")</f>
        <v>4</v>
      </c>
      <c r="F165" s="43">
        <f>SUMIFS('Aug-24 CREDIT MIS'!T:T,'Aug-24 CREDIT MIS'!C:C,"&gt;=01-08-2024",'Aug-24 CREDIT MIS'!E:E,'Aug Dashboard.'!B165,'Aug-24 CREDIT MIS'!I:I,'Aug Dashboard.'!A165,'Aug-24 CREDIT MIS'!N:N,"Manoj Chauhan")/100000</f>
        <v>31.9</v>
      </c>
      <c r="G165" s="44">
        <f t="shared" si="56"/>
        <v>6</v>
      </c>
      <c r="H165" s="43">
        <f t="shared" si="57"/>
        <v>46.8</v>
      </c>
      <c r="I165" s="44">
        <f>COUNTIFS('Aug-24 CREDIT MIS'!S:S,"Sanction",'Aug-24 CREDIT MIS'!E:E,'Aug Dashboard.'!B165,'Aug-24 CREDIT MIS'!I:I,'Aug Dashboard.'!A165,'Aug-24 CREDIT MIS'!N:N,"Manoj Chauhan")+COUNTIFS('Aug-24 CREDIT MIS'!S:S,"Disbursed",'Aug-24 CREDIT MIS'!E:E,'Aug Dashboard.'!B165,'Aug-24 CREDIT MIS'!I:I,'Aug Dashboard.'!A165,'Aug-24 CREDIT MIS'!N:N,"Manoj Chauhan")</f>
        <v>0</v>
      </c>
      <c r="J165" s="43">
        <f>SUMIFS('Aug-24 CREDIT MIS'!V:V,'Aug-24 CREDIT MIS'!S:S,"Sanction",'Aug-24 CREDIT MIS'!E:E,'Aug Dashboard.'!B165,'Aug-24 CREDIT MIS'!I:I,'Aug Dashboard.'!A165,'Aug-24 CREDIT MIS'!N:N,"Manoj Chauhan")/100000+SUMIFS('Aug-24 CREDIT MIS'!V:V,'Aug-24 CREDIT MIS'!S:S,"Disbursed",'Aug-24 CREDIT MIS'!E:E,'Aug Dashboard.'!B165,'Aug-24 CREDIT MIS'!I:I,'Aug Dashboard.'!A165,'Aug-24 CREDIT MIS'!N:N,"Manoj Chauhan")/100000</f>
        <v>0</v>
      </c>
      <c r="K165" s="44">
        <f>COUNTIFS('Aug-24 CREDIT MIS'!S:S,"Reject",'Aug-24 CREDIT MIS'!E:E,'Aug Dashboard.'!B165,'Aug-24 CREDIT MIS'!I:I,'Aug Dashboard.'!A165,'Aug-24 CREDIT MIS'!N:N,"Manoj Chauhan")</f>
        <v>2</v>
      </c>
      <c r="L165" s="43">
        <f>SUMIFS('Aug-24 CREDIT MIS'!T:T,'Aug-24 CREDIT MIS'!S:S,"Reject",'Aug-24 CREDIT MIS'!E:E,'Aug Dashboard.'!B165,'Aug-24 CREDIT MIS'!I:I,'Aug Dashboard.'!A165,'Aug-24 CREDIT MIS'!N:N,"Manoj Chauhan")/100000</f>
        <v>14.9</v>
      </c>
      <c r="M165" s="44">
        <f>COUNTIFS('Aug-24 CREDIT MIS'!S:S,"Recommend",'Aug-24 CREDIT MIS'!E:E,'Aug Dashboard.'!B165,'Aug-24 CREDIT MIS'!I:I,'Aug Dashboard.'!A165,'Aug-24 CREDIT MIS'!N:N,"Manoj Chauhan")</f>
        <v>0</v>
      </c>
      <c r="N165" s="43">
        <f>SUMIFS('Aug-24 CREDIT MIS'!T:T,'Aug-24 CREDIT MIS'!S:S,"Recommend",'Aug-24 CREDIT MIS'!E:E,'Aug Dashboard.'!B165,'Aug-24 CREDIT MIS'!I:I,'Aug Dashboard.'!A165,'Aug-24 CREDIT MIS'!N:N,"Manoj Chauhan")/100000</f>
        <v>0</v>
      </c>
      <c r="O165" s="44">
        <f>COUNTIFS('Aug-24 CREDIT MIS'!S:S,"Query- Sales",'Aug-24 CREDIT MIS'!E:E,'Aug Dashboard.'!B165,'Aug-24 CREDIT MIS'!I:I,'Aug Dashboard.'!A165,'Aug-24 CREDIT MIS'!N:N,"Manoj Chauhan")</f>
        <v>0</v>
      </c>
      <c r="P165" s="43">
        <f>SUMIFS('Aug-24 CREDIT MIS'!T:T,'Aug-24 CREDIT MIS'!S:S,"Query- Sales",'Aug-24 CREDIT MIS'!E:E,'Aug Dashboard.'!B165,'Aug-24 CREDIT MIS'!I:I,'Aug Dashboard.'!A165,'Aug-24 CREDIT MIS'!N:N,"Manoj Chauhan")/100000</f>
        <v>0</v>
      </c>
      <c r="Q165" s="42">
        <f>COUNTIFS('Aug-24 CREDIT MIS'!S:S,"WIP- Credit",'Aug-24 CREDIT MIS'!E:E,'Aug Dashboard.'!B165,'Aug-24 CREDIT MIS'!I:I,'Aug Dashboard.'!A165,'Aug-24 CREDIT MIS'!N:N,"Manoj Chauhan")</f>
        <v>2</v>
      </c>
      <c r="R165" s="42">
        <f>SUMIFS('Aug-24 CREDIT MIS'!T:T,'Aug-24 CREDIT MIS'!S:S,"WIP- Credit",'Aug-24 CREDIT MIS'!E:E,'Aug Dashboard.'!B165,'Aug-24 CREDIT MIS'!I:I,'Aug Dashboard.'!A165,'Aug-24 CREDIT MIS'!N:N,"Manoj Chauhan")/100000</f>
        <v>14</v>
      </c>
      <c r="S165" s="42">
        <f>COUNTIFS('Aug-24 CREDIT MIS'!S:S,"Visit Pending",'Aug-24 CREDIT MIS'!E:E,'Aug Dashboard.'!B165,'Aug-24 CREDIT MIS'!I:I,'Aug Dashboard.'!A165,'Aug-24 CREDIT MIS'!N:N,"Manoj Chauhan")</f>
        <v>2</v>
      </c>
      <c r="T165" s="42">
        <f>SUMIFS('Aug-24 CREDIT MIS'!T:T,'Aug-24 CREDIT MIS'!S:S,"Visit Pending",'Aug-24 CREDIT MIS'!E:E,'Aug Dashboard.'!B165,'Aug-24 CREDIT MIS'!I:I,'Aug Dashboard.'!A165,'Aug-24 CREDIT MIS'!N:N,"Manoj Chauhan")/100000</f>
        <v>17.899999999999999</v>
      </c>
    </row>
    <row r="166" spans="1:20" x14ac:dyDescent="0.25">
      <c r="A166" s="5" t="s">
        <v>162</v>
      </c>
      <c r="B166" s="5" t="s">
        <v>29</v>
      </c>
      <c r="C166" s="42">
        <f>COUNTIFS('Aug-24 CREDIT MIS'!C:C,"&lt;01-08-2024",'Aug-24 CREDIT MIS'!E:E,'Aug Dashboard.'!B166,'Aug-24 CREDIT MIS'!I:I,'Aug Dashboard.'!A166,'Aug-24 CREDIT MIS'!N:N,"Manoj Chauhan")</f>
        <v>0</v>
      </c>
      <c r="D166" s="42">
        <f>SUMIFS('Aug-24 CREDIT MIS'!T:T,'Aug-24 CREDIT MIS'!C:C,"&lt;01-08-2024",'Aug-24 CREDIT MIS'!E:E,'Aug Dashboard.'!B166,'Aug-24 CREDIT MIS'!I:I,'Aug Dashboard.'!A166,'Aug-24 CREDIT MIS'!N:N,"Manoj Chauhan")/100000</f>
        <v>0</v>
      </c>
      <c r="E166" s="42">
        <f>COUNTIFS('Aug-24 CREDIT MIS'!C:C,"&gt;=01-08-2024",'Aug-24 CREDIT MIS'!E:E,'Aug Dashboard.'!B166,'Aug-24 CREDIT MIS'!I:I,'Aug Dashboard.'!A166,'Aug-24 CREDIT MIS'!N:N,"Manoj Chauhan")</f>
        <v>1</v>
      </c>
      <c r="F166" s="43">
        <f>SUMIFS('Aug-24 CREDIT MIS'!T:T,'Aug-24 CREDIT MIS'!C:C,"&gt;=01-08-2024",'Aug-24 CREDIT MIS'!E:E,'Aug Dashboard.'!B166,'Aug-24 CREDIT MIS'!I:I,'Aug Dashboard.'!A166,'Aug-24 CREDIT MIS'!N:N,"Manoj Chauhan")/100000</f>
        <v>3.5</v>
      </c>
      <c r="G166" s="44">
        <f t="shared" si="56"/>
        <v>1</v>
      </c>
      <c r="H166" s="43">
        <f t="shared" si="57"/>
        <v>3.5</v>
      </c>
      <c r="I166" s="44">
        <f>COUNTIFS('Aug-24 CREDIT MIS'!S:S,"Sanction",'Aug-24 CREDIT MIS'!E:E,'Aug Dashboard.'!B166,'Aug-24 CREDIT MIS'!I:I,'Aug Dashboard.'!A166,'Aug-24 CREDIT MIS'!N:N,"Manoj Chauhan")+COUNTIFS('Aug-24 CREDIT MIS'!S:S,"Disbursed",'Aug-24 CREDIT MIS'!E:E,'Aug Dashboard.'!B166,'Aug-24 CREDIT MIS'!I:I,'Aug Dashboard.'!A166,'Aug-24 CREDIT MIS'!N:N,"Manoj Chauhan")</f>
        <v>0</v>
      </c>
      <c r="J166" s="43">
        <f>SUMIFS('Aug-24 CREDIT MIS'!V:V,'Aug-24 CREDIT MIS'!S:S,"Sanction",'Aug-24 CREDIT MIS'!E:E,'Aug Dashboard.'!B166,'Aug-24 CREDIT MIS'!I:I,'Aug Dashboard.'!A166,'Aug-24 CREDIT MIS'!N:N,"Manoj Chauhan")/100000+SUMIFS('Aug-24 CREDIT MIS'!V:V,'Aug-24 CREDIT MIS'!S:S,"Disbursed",'Aug-24 CREDIT MIS'!E:E,'Aug Dashboard.'!B166,'Aug-24 CREDIT MIS'!I:I,'Aug Dashboard.'!A166,'Aug-24 CREDIT MIS'!N:N,"Manoj Chauhan")/100000</f>
        <v>0</v>
      </c>
      <c r="K166" s="44">
        <f>COUNTIFS('Aug-24 CREDIT MIS'!S:S,"Reject",'Aug-24 CREDIT MIS'!E:E,'Aug Dashboard.'!B166,'Aug-24 CREDIT MIS'!I:I,'Aug Dashboard.'!A166,'Aug-24 CREDIT MIS'!N:N,"Manoj Chauhan")</f>
        <v>0</v>
      </c>
      <c r="L166" s="43">
        <f>SUMIFS('Aug-24 CREDIT MIS'!T:T,'Aug-24 CREDIT MIS'!S:S,"Reject",'Aug-24 CREDIT MIS'!E:E,'Aug Dashboard.'!B166,'Aug-24 CREDIT MIS'!I:I,'Aug Dashboard.'!A166,'Aug-24 CREDIT MIS'!N:N,"Manoj Chauhan")/100000</f>
        <v>0</v>
      </c>
      <c r="M166" s="44">
        <f>COUNTIFS('Aug-24 CREDIT MIS'!S:S,"Recommend",'Aug-24 CREDIT MIS'!E:E,'Aug Dashboard.'!B166,'Aug-24 CREDIT MIS'!I:I,'Aug Dashboard.'!A166,'Aug-24 CREDIT MIS'!N:N,"Manoj Chauhan")</f>
        <v>0</v>
      </c>
      <c r="N166" s="43">
        <f>SUMIFS('Aug-24 CREDIT MIS'!T:T,'Aug-24 CREDIT MIS'!S:S,"Recommend",'Aug-24 CREDIT MIS'!E:E,'Aug Dashboard.'!B166,'Aug-24 CREDIT MIS'!I:I,'Aug Dashboard.'!A166,'Aug-24 CREDIT MIS'!N:N,"Manoj Chauhan")/100000</f>
        <v>0</v>
      </c>
      <c r="O166" s="44">
        <f>COUNTIFS('Aug-24 CREDIT MIS'!S:S,"Query- Sales",'Aug-24 CREDIT MIS'!E:E,'Aug Dashboard.'!B166,'Aug-24 CREDIT MIS'!I:I,'Aug Dashboard.'!A166,'Aug-24 CREDIT MIS'!N:N,"Manoj Chauhan")</f>
        <v>0</v>
      </c>
      <c r="P166" s="43">
        <f>SUMIFS('Aug-24 CREDIT MIS'!T:T,'Aug-24 CREDIT MIS'!S:S,"Query- Sales",'Aug-24 CREDIT MIS'!E:E,'Aug Dashboard.'!B166,'Aug-24 CREDIT MIS'!I:I,'Aug Dashboard.'!A166,'Aug-24 CREDIT MIS'!N:N,"Manoj Chauhan")/100000</f>
        <v>0</v>
      </c>
      <c r="Q166" s="42">
        <f>COUNTIFS('Aug-24 CREDIT MIS'!S:S,"WIP- Credit",'Aug-24 CREDIT MIS'!E:E,'Aug Dashboard.'!B166,'Aug-24 CREDIT MIS'!I:I,'Aug Dashboard.'!A166,'Aug-24 CREDIT MIS'!N:N,"Manoj Chauhan")</f>
        <v>1</v>
      </c>
      <c r="R166" s="42">
        <f>SUMIFS('Aug-24 CREDIT MIS'!T:T,'Aug-24 CREDIT MIS'!S:S,"WIP- Credit",'Aug-24 CREDIT MIS'!E:E,'Aug Dashboard.'!B166,'Aug-24 CREDIT MIS'!I:I,'Aug Dashboard.'!A166,'Aug-24 CREDIT MIS'!N:N,"Manoj Chauhan")/100000</f>
        <v>3.5</v>
      </c>
      <c r="S166" s="42">
        <f>COUNTIFS('Aug-24 CREDIT MIS'!S:S,"Visit Pending",'Aug-24 CREDIT MIS'!E:E,'Aug Dashboard.'!B166,'Aug-24 CREDIT MIS'!I:I,'Aug Dashboard.'!A166,'Aug-24 CREDIT MIS'!N:N,"Manoj Chauhan")</f>
        <v>0</v>
      </c>
      <c r="T166" s="42">
        <f>SUMIFS('Aug-24 CREDIT MIS'!T:T,'Aug-24 CREDIT MIS'!S:S,"Visit Pending",'Aug-24 CREDIT MIS'!E:E,'Aug Dashboard.'!B166,'Aug-24 CREDIT MIS'!I:I,'Aug Dashboard.'!A166,'Aug-24 CREDIT MIS'!N:N,"Manoj Chauhan")/100000</f>
        <v>0</v>
      </c>
    </row>
    <row r="167" spans="1:20" x14ac:dyDescent="0.25">
      <c r="A167" t="s">
        <v>161</v>
      </c>
      <c r="B167" s="45" t="s">
        <v>23</v>
      </c>
      <c r="C167" s="42">
        <f>COUNTIFS('Aug-24 CREDIT MIS'!C:C,"&lt;01-08-2024",'Aug-24 CREDIT MIS'!E:E,'Aug Dashboard.'!B167,'Aug-24 CREDIT MIS'!I:I,'Aug Dashboard.'!A167,'Aug-24 CREDIT MIS'!N:N,"Manoj Chauhan")</f>
        <v>0</v>
      </c>
      <c r="D167" s="42">
        <f>SUMIFS('Aug-24 CREDIT MIS'!T:T,'Aug-24 CREDIT MIS'!C:C,"&lt;01-08-2024",'Aug-24 CREDIT MIS'!E:E,'Aug Dashboard.'!B167,'Aug-24 CREDIT MIS'!I:I,'Aug Dashboard.'!A167,'Aug-24 CREDIT MIS'!N:N,"Manoj Chauhan")/100000</f>
        <v>0</v>
      </c>
      <c r="E167" s="42">
        <f>COUNTIFS('Aug-24 CREDIT MIS'!C:C,"&gt;=01-08-2024",'Aug-24 CREDIT MIS'!E:E,'Aug Dashboard.'!B167,'Aug-24 CREDIT MIS'!I:I,'Aug Dashboard.'!A167,'Aug-24 CREDIT MIS'!N:N,"Manoj Chauhan")</f>
        <v>3</v>
      </c>
      <c r="F167" s="43">
        <f>SUMIFS('Aug-24 CREDIT MIS'!T:T,'Aug-24 CREDIT MIS'!C:C,"&gt;=01-08-2024",'Aug-24 CREDIT MIS'!E:E,'Aug Dashboard.'!B167,'Aug-24 CREDIT MIS'!I:I,'Aug Dashboard.'!A167,'Aug-24 CREDIT MIS'!N:N,"Manoj Chauhan")/100000</f>
        <v>25</v>
      </c>
      <c r="G167" s="44">
        <f t="shared" si="56"/>
        <v>3</v>
      </c>
      <c r="H167" s="43">
        <f t="shared" si="57"/>
        <v>25</v>
      </c>
      <c r="I167" s="44">
        <f>COUNTIFS('Aug-24 CREDIT MIS'!S:S,"Sanction",'Aug-24 CREDIT MIS'!E:E,'Aug Dashboard.'!B167,'Aug-24 CREDIT MIS'!I:I,'Aug Dashboard.'!A167,'Aug-24 CREDIT MIS'!N:N,"Manoj Chauhan")+COUNTIFS('Aug-24 CREDIT MIS'!S:S,"Disbursed",'Aug-24 CREDIT MIS'!E:E,'Aug Dashboard.'!B167,'Aug-24 CREDIT MIS'!I:I,'Aug Dashboard.'!A167,'Aug-24 CREDIT MIS'!N:N,"Manoj Chauhan")</f>
        <v>0</v>
      </c>
      <c r="J167" s="43">
        <f>SUMIFS('Aug-24 CREDIT MIS'!V:V,'Aug-24 CREDIT MIS'!S:S,"Sanction",'Aug-24 CREDIT MIS'!E:E,'Aug Dashboard.'!B167,'Aug-24 CREDIT MIS'!I:I,'Aug Dashboard.'!A167,'Aug-24 CREDIT MIS'!N:N,"Manoj Chauhan")/100000+SUMIFS('Aug-24 CREDIT MIS'!V:V,'Aug-24 CREDIT MIS'!S:S,"Disbursed",'Aug-24 CREDIT MIS'!E:E,'Aug Dashboard.'!B167,'Aug-24 CREDIT MIS'!I:I,'Aug Dashboard.'!A167,'Aug-24 CREDIT MIS'!N:N,"Manoj Chauhan")/100000</f>
        <v>0</v>
      </c>
      <c r="K167" s="44">
        <f>COUNTIFS('Aug-24 CREDIT MIS'!S:S,"Reject",'Aug-24 CREDIT MIS'!E:E,'Aug Dashboard.'!B167,'Aug-24 CREDIT MIS'!I:I,'Aug Dashboard.'!A167,'Aug-24 CREDIT MIS'!N:N,"Manoj Chauhan")</f>
        <v>0</v>
      </c>
      <c r="L167" s="43">
        <f>SUMIFS('Aug-24 CREDIT MIS'!T:T,'Aug-24 CREDIT MIS'!S:S,"Reject",'Aug-24 CREDIT MIS'!E:E,'Aug Dashboard.'!B167,'Aug-24 CREDIT MIS'!I:I,'Aug Dashboard.'!A167,'Aug-24 CREDIT MIS'!N:N,"Manoj Chauhan")/100000</f>
        <v>0</v>
      </c>
      <c r="M167" s="44">
        <f>COUNTIFS('Aug-24 CREDIT MIS'!S:S,"Recommend",'Aug-24 CREDIT MIS'!E:E,'Aug Dashboard.'!B167,'Aug-24 CREDIT MIS'!I:I,'Aug Dashboard.'!A167,'Aug-24 CREDIT MIS'!N:N,"Manoj Chauhan")</f>
        <v>1</v>
      </c>
      <c r="N167" s="43">
        <f>SUMIFS('Aug-24 CREDIT MIS'!T:T,'Aug-24 CREDIT MIS'!S:S,"Recommend",'Aug-24 CREDIT MIS'!E:E,'Aug Dashboard.'!B167,'Aug-24 CREDIT MIS'!I:I,'Aug Dashboard.'!A167,'Aug-24 CREDIT MIS'!N:N,"Manoj Chauhan")/100000</f>
        <v>8</v>
      </c>
      <c r="O167" s="44">
        <f>COUNTIFS('Aug-24 CREDIT MIS'!S:S,"Query- Sales",'Aug-24 CREDIT MIS'!E:E,'Aug Dashboard.'!B167,'Aug-24 CREDIT MIS'!I:I,'Aug Dashboard.'!A167,'Aug-24 CREDIT MIS'!N:N,"Manoj Chauhan")</f>
        <v>0</v>
      </c>
      <c r="P167" s="43">
        <f>SUMIFS('Aug-24 CREDIT MIS'!T:T,'Aug-24 CREDIT MIS'!S:S,"Query- Sales",'Aug-24 CREDIT MIS'!E:E,'Aug Dashboard.'!B167,'Aug-24 CREDIT MIS'!I:I,'Aug Dashboard.'!A167,'Aug-24 CREDIT MIS'!N:N,"Manoj Chauhan")/100000</f>
        <v>0</v>
      </c>
      <c r="Q167" s="42">
        <f>COUNTIFS('Aug-24 CREDIT MIS'!S:S,"WIP- Credit",'Aug-24 CREDIT MIS'!E:E,'Aug Dashboard.'!B167,'Aug-24 CREDIT MIS'!I:I,'Aug Dashboard.'!A167,'Aug-24 CREDIT MIS'!N:N,"Manoj Chauhan")</f>
        <v>0</v>
      </c>
      <c r="R167" s="42">
        <f>SUMIFS('Aug-24 CREDIT MIS'!T:T,'Aug-24 CREDIT MIS'!S:S,"WIP- Credit",'Aug-24 CREDIT MIS'!E:E,'Aug Dashboard.'!B167,'Aug-24 CREDIT MIS'!I:I,'Aug Dashboard.'!A167,'Aug-24 CREDIT MIS'!N:N,"Manoj Chauhan")/100000</f>
        <v>0</v>
      </c>
      <c r="S167" s="42">
        <f>COUNTIFS('Aug-24 CREDIT MIS'!S:S,"Visit Pending",'Aug-24 CREDIT MIS'!E:E,'Aug Dashboard.'!B167,'Aug-24 CREDIT MIS'!I:I,'Aug Dashboard.'!A167,'Aug-24 CREDIT MIS'!N:N,"Manoj Chauhan")</f>
        <v>2</v>
      </c>
      <c r="T167" s="42">
        <f>SUMIFS('Aug-24 CREDIT MIS'!T:T,'Aug-24 CREDIT MIS'!S:S,"Visit Pending",'Aug-24 CREDIT MIS'!E:E,'Aug Dashboard.'!B167,'Aug-24 CREDIT MIS'!I:I,'Aug Dashboard.'!A167,'Aug-24 CREDIT MIS'!N:N,"Manoj Chauhan")/100000</f>
        <v>17</v>
      </c>
    </row>
    <row r="168" spans="1:20" x14ac:dyDescent="0.25">
      <c r="A168" s="16" t="s">
        <v>160</v>
      </c>
      <c r="B168" s="45" t="s">
        <v>14</v>
      </c>
      <c r="C168" s="42">
        <f>COUNTIFS('Aug-24 CREDIT MIS'!C:C,"&lt;01-08-2024",'Aug-24 CREDIT MIS'!E:E,'Aug Dashboard.'!B168,'Aug-24 CREDIT MIS'!I:I,'Aug Dashboard.'!A168,'Aug-24 CREDIT MIS'!N:N,"Manoj Chauhan")</f>
        <v>0</v>
      </c>
      <c r="D168" s="42">
        <f>SUMIFS('Aug-24 CREDIT MIS'!T:T,'Aug-24 CREDIT MIS'!C:C,"&lt;01-08-2024",'Aug-24 CREDIT MIS'!E:E,'Aug Dashboard.'!B168,'Aug-24 CREDIT MIS'!I:I,'Aug Dashboard.'!A168,'Aug-24 CREDIT MIS'!N:N,"Manoj Chauhan")/100000</f>
        <v>0</v>
      </c>
      <c r="E168" s="42">
        <f>COUNTIFS('Aug-24 CREDIT MIS'!C:C,"&gt;=01-08-2024",'Aug-24 CREDIT MIS'!E:E,'Aug Dashboard.'!B168,'Aug-24 CREDIT MIS'!I:I,'Aug Dashboard.'!A168,'Aug-24 CREDIT MIS'!N:N,"Manoj Chauhan")</f>
        <v>1</v>
      </c>
      <c r="F168" s="43">
        <f>SUMIFS('Aug-24 CREDIT MIS'!T:T,'Aug-24 CREDIT MIS'!C:C,"&gt;=01-08-2024",'Aug-24 CREDIT MIS'!E:E,'Aug Dashboard.'!B168,'Aug-24 CREDIT MIS'!I:I,'Aug Dashboard.'!A168,'Aug-24 CREDIT MIS'!N:N,"Manoj Chauhan")/100000</f>
        <v>8</v>
      </c>
      <c r="G168" s="44">
        <f t="shared" si="56"/>
        <v>1</v>
      </c>
      <c r="H168" s="43">
        <f t="shared" si="57"/>
        <v>8</v>
      </c>
      <c r="I168" s="44">
        <f>COUNTIFS('Aug-24 CREDIT MIS'!S:S,"Sanction",'Aug-24 CREDIT MIS'!E:E,'Aug Dashboard.'!B168,'Aug-24 CREDIT MIS'!I:I,'Aug Dashboard.'!A168,'Aug-24 CREDIT MIS'!N:N,"Manoj Chauhan")+COUNTIFS('Aug-24 CREDIT MIS'!S:S,"Disbursed",'Aug-24 CREDIT MIS'!E:E,'Aug Dashboard.'!B168,'Aug-24 CREDIT MIS'!I:I,'Aug Dashboard.'!A168,'Aug-24 CREDIT MIS'!N:N,"Manoj Chauhan")</f>
        <v>0</v>
      </c>
      <c r="J168" s="43">
        <f>SUMIFS('Aug-24 CREDIT MIS'!V:V,'Aug-24 CREDIT MIS'!S:S,"Sanction",'Aug-24 CREDIT MIS'!E:E,'Aug Dashboard.'!B168,'Aug-24 CREDIT MIS'!I:I,'Aug Dashboard.'!A168,'Aug-24 CREDIT MIS'!N:N,"Manoj Chauhan")/100000+SUMIFS('Aug-24 CREDIT MIS'!V:V,'Aug-24 CREDIT MIS'!S:S,"Disbursed",'Aug-24 CREDIT MIS'!E:E,'Aug Dashboard.'!B168,'Aug-24 CREDIT MIS'!I:I,'Aug Dashboard.'!A168,'Aug-24 CREDIT MIS'!N:N,"Manoj Chauhan")/100000</f>
        <v>0</v>
      </c>
      <c r="K168" s="44">
        <f>COUNTIFS('Aug-24 CREDIT MIS'!S:S,"Reject",'Aug-24 CREDIT MIS'!E:E,'Aug Dashboard.'!B168,'Aug-24 CREDIT MIS'!I:I,'Aug Dashboard.'!A168,'Aug-24 CREDIT MIS'!N:N,"Manoj Chauhan")</f>
        <v>0</v>
      </c>
      <c r="L168" s="43">
        <f>SUMIFS('Aug-24 CREDIT MIS'!T:T,'Aug-24 CREDIT MIS'!S:S,"Reject",'Aug-24 CREDIT MIS'!E:E,'Aug Dashboard.'!B168,'Aug-24 CREDIT MIS'!I:I,'Aug Dashboard.'!A168,'Aug-24 CREDIT MIS'!N:N,"Manoj Chauhan")/100000</f>
        <v>0</v>
      </c>
      <c r="M168" s="44">
        <f>COUNTIFS('Aug-24 CREDIT MIS'!S:S,"Recommend",'Aug-24 CREDIT MIS'!E:E,'Aug Dashboard.'!B168,'Aug-24 CREDIT MIS'!I:I,'Aug Dashboard.'!A168,'Aug-24 CREDIT MIS'!N:N,"Manoj Chauhan")</f>
        <v>0</v>
      </c>
      <c r="N168" s="43">
        <f>SUMIFS('Aug-24 CREDIT MIS'!T:T,'Aug-24 CREDIT MIS'!S:S,"Recommend",'Aug-24 CREDIT MIS'!E:E,'Aug Dashboard.'!B168,'Aug-24 CREDIT MIS'!I:I,'Aug Dashboard.'!A168,'Aug-24 CREDIT MIS'!N:N,"Manoj Chauhan")/100000</f>
        <v>0</v>
      </c>
      <c r="O168" s="44">
        <f>COUNTIFS('Aug-24 CREDIT MIS'!S:S,"Query- Sales",'Aug-24 CREDIT MIS'!E:E,'Aug Dashboard.'!B168,'Aug-24 CREDIT MIS'!I:I,'Aug Dashboard.'!A168,'Aug-24 CREDIT MIS'!N:N,"Manoj Chauhan")</f>
        <v>0</v>
      </c>
      <c r="P168" s="43">
        <f>SUMIFS('Aug-24 CREDIT MIS'!T:T,'Aug-24 CREDIT MIS'!S:S,"Query- Sales",'Aug-24 CREDIT MIS'!E:E,'Aug Dashboard.'!B168,'Aug-24 CREDIT MIS'!I:I,'Aug Dashboard.'!A168,'Aug-24 CREDIT MIS'!N:N,"Manoj Chauhan")/100000</f>
        <v>0</v>
      </c>
      <c r="Q168" s="42">
        <f>COUNTIFS('Aug-24 CREDIT MIS'!S:S,"WIP- Credit",'Aug-24 CREDIT MIS'!E:E,'Aug Dashboard.'!B168,'Aug-24 CREDIT MIS'!I:I,'Aug Dashboard.'!A168,'Aug-24 CREDIT MIS'!N:N,"Manoj Chauhan")</f>
        <v>1</v>
      </c>
      <c r="R168" s="42">
        <f>SUMIFS('Aug-24 CREDIT MIS'!T:T,'Aug-24 CREDIT MIS'!S:S,"WIP- Credit",'Aug-24 CREDIT MIS'!E:E,'Aug Dashboard.'!B168,'Aug-24 CREDIT MIS'!I:I,'Aug Dashboard.'!A168,'Aug-24 CREDIT MIS'!N:N,"Manoj Chauhan")/100000</f>
        <v>8</v>
      </c>
      <c r="S168" s="42">
        <f>COUNTIFS('Aug-24 CREDIT MIS'!S:S,"Visit Pending",'Aug-24 CREDIT MIS'!E:E,'Aug Dashboard.'!B168,'Aug-24 CREDIT MIS'!I:I,'Aug Dashboard.'!A168,'Aug-24 CREDIT MIS'!N:N,"Manoj Chauhan")</f>
        <v>0</v>
      </c>
      <c r="T168" s="42">
        <f>SUMIFS('Aug-24 CREDIT MIS'!T:T,'Aug-24 CREDIT MIS'!S:S,"Visit Pending",'Aug-24 CREDIT MIS'!E:E,'Aug Dashboard.'!B168,'Aug-24 CREDIT MIS'!I:I,'Aug Dashboard.'!A168,'Aug-24 CREDIT MIS'!N:N,"Manoj Chauhan")/100000</f>
        <v>0</v>
      </c>
    </row>
    <row r="169" spans="1:20" x14ac:dyDescent="0.25">
      <c r="A169" s="16" t="s">
        <v>160</v>
      </c>
      <c r="B169" s="45" t="s">
        <v>10</v>
      </c>
      <c r="C169" s="42">
        <f>COUNTIFS('Aug-24 CREDIT MIS'!C:C,"&lt;01-08-2024",'Aug-24 CREDIT MIS'!E:E,'Aug Dashboard.'!B169,'Aug-24 CREDIT MIS'!I:I,'Aug Dashboard.'!A169,'Aug-24 CREDIT MIS'!N:N,"Manoj Chauhan")</f>
        <v>0</v>
      </c>
      <c r="D169" s="42">
        <f>SUMIFS('Aug-24 CREDIT MIS'!T:T,'Aug-24 CREDIT MIS'!C:C,"&lt;01-08-2024",'Aug-24 CREDIT MIS'!E:E,'Aug Dashboard.'!B169,'Aug-24 CREDIT MIS'!I:I,'Aug Dashboard.'!A169,'Aug-24 CREDIT MIS'!N:N,"Manoj Chauhan")/100000</f>
        <v>0</v>
      </c>
      <c r="E169" s="42">
        <f>COUNTIFS('Aug-24 CREDIT MIS'!C:C,"&gt;=01-08-2024",'Aug-24 CREDIT MIS'!E:E,'Aug Dashboard.'!B169,'Aug-24 CREDIT MIS'!I:I,'Aug Dashboard.'!A169,'Aug-24 CREDIT MIS'!N:N,"Manoj Chauhan")</f>
        <v>4</v>
      </c>
      <c r="F169" s="43">
        <f>SUMIFS('Aug-24 CREDIT MIS'!T:T,'Aug-24 CREDIT MIS'!C:C,"&gt;=01-08-2024",'Aug-24 CREDIT MIS'!E:E,'Aug Dashboard.'!B169,'Aug-24 CREDIT MIS'!I:I,'Aug Dashboard.'!A169,'Aug-24 CREDIT MIS'!N:N,"Manoj Chauhan")/100000</f>
        <v>31.9</v>
      </c>
      <c r="G169" s="44">
        <f t="shared" si="56"/>
        <v>4</v>
      </c>
      <c r="H169" s="43">
        <f t="shared" si="57"/>
        <v>31.9</v>
      </c>
      <c r="I169" s="44">
        <f>COUNTIFS('Aug-24 CREDIT MIS'!S:S,"Sanction",'Aug-24 CREDIT MIS'!E:E,'Aug Dashboard.'!B169,'Aug-24 CREDIT MIS'!I:I,'Aug Dashboard.'!A169,'Aug-24 CREDIT MIS'!N:N,"Manoj Chauhan")+COUNTIFS('Aug-24 CREDIT MIS'!S:S,"Disbursed",'Aug-24 CREDIT MIS'!E:E,'Aug Dashboard.'!B169,'Aug-24 CREDIT MIS'!I:I,'Aug Dashboard.'!A169,'Aug-24 CREDIT MIS'!N:N,"Manoj Chauhan")</f>
        <v>0</v>
      </c>
      <c r="J169" s="43">
        <f>SUMIFS('Aug-24 CREDIT MIS'!V:V,'Aug-24 CREDIT MIS'!S:S,"Sanction",'Aug-24 CREDIT MIS'!E:E,'Aug Dashboard.'!B169,'Aug-24 CREDIT MIS'!I:I,'Aug Dashboard.'!A169,'Aug-24 CREDIT MIS'!N:N,"Manoj Chauhan")/100000+SUMIFS('Aug-24 CREDIT MIS'!V:V,'Aug-24 CREDIT MIS'!S:S,"Disbursed",'Aug-24 CREDIT MIS'!E:E,'Aug Dashboard.'!B169,'Aug-24 CREDIT MIS'!I:I,'Aug Dashboard.'!A169,'Aug-24 CREDIT MIS'!N:N,"Manoj Chauhan")/100000</f>
        <v>0</v>
      </c>
      <c r="K169" s="44">
        <f>COUNTIFS('Aug-24 CREDIT MIS'!S:S,"Reject",'Aug-24 CREDIT MIS'!E:E,'Aug Dashboard.'!B169,'Aug-24 CREDIT MIS'!I:I,'Aug Dashboard.'!A169,'Aug-24 CREDIT MIS'!N:N,"Manoj Chauhan")</f>
        <v>0</v>
      </c>
      <c r="L169" s="43">
        <f>SUMIFS('Aug-24 CREDIT MIS'!T:T,'Aug-24 CREDIT MIS'!S:S,"Reject",'Aug-24 CREDIT MIS'!E:E,'Aug Dashboard.'!B169,'Aug-24 CREDIT MIS'!I:I,'Aug Dashboard.'!A169,'Aug-24 CREDIT MIS'!N:N,"Manoj Chauhan")/100000</f>
        <v>0</v>
      </c>
      <c r="M169" s="44">
        <f>COUNTIFS('Aug-24 CREDIT MIS'!S:S,"Recommend",'Aug-24 CREDIT MIS'!E:E,'Aug Dashboard.'!B169,'Aug-24 CREDIT MIS'!I:I,'Aug Dashboard.'!A169,'Aug-24 CREDIT MIS'!N:N,"Manoj Chauhan")</f>
        <v>0</v>
      </c>
      <c r="N169" s="43">
        <f>SUMIFS('Aug-24 CREDIT MIS'!T:T,'Aug-24 CREDIT MIS'!S:S,"Recommend",'Aug-24 CREDIT MIS'!E:E,'Aug Dashboard.'!B169,'Aug-24 CREDIT MIS'!I:I,'Aug Dashboard.'!A169,'Aug-24 CREDIT MIS'!N:N,"Manoj Chauhan")/100000</f>
        <v>0</v>
      </c>
      <c r="O169" s="44">
        <f>COUNTIFS('Aug-24 CREDIT MIS'!S:S,"Query- Sales",'Aug-24 CREDIT MIS'!E:E,'Aug Dashboard.'!B169,'Aug-24 CREDIT MIS'!I:I,'Aug Dashboard.'!A169,'Aug-24 CREDIT MIS'!N:N,"Manoj Chauhan")</f>
        <v>0</v>
      </c>
      <c r="P169" s="43">
        <f>SUMIFS('Aug-24 CREDIT MIS'!T:T,'Aug-24 CREDIT MIS'!S:S,"Query- Sales",'Aug-24 CREDIT MIS'!E:E,'Aug Dashboard.'!B169,'Aug-24 CREDIT MIS'!I:I,'Aug Dashboard.'!A169,'Aug-24 CREDIT MIS'!N:N,"Manoj Chauhan")/100000</f>
        <v>0</v>
      </c>
      <c r="Q169" s="42">
        <f>COUNTIFS('Aug-24 CREDIT MIS'!S:S,"WIP- Credit",'Aug-24 CREDIT MIS'!E:E,'Aug Dashboard.'!B169,'Aug-24 CREDIT MIS'!I:I,'Aug Dashboard.'!A169,'Aug-24 CREDIT MIS'!N:N,"Manoj Chauhan")</f>
        <v>0</v>
      </c>
      <c r="R169" s="42">
        <f>SUMIFS('Aug-24 CREDIT MIS'!T:T,'Aug-24 CREDIT MIS'!S:S,"WIP- Credit",'Aug-24 CREDIT MIS'!E:E,'Aug Dashboard.'!B169,'Aug-24 CREDIT MIS'!I:I,'Aug Dashboard.'!A169,'Aug-24 CREDIT MIS'!N:N,"Manoj Chauhan")/100000</f>
        <v>0</v>
      </c>
      <c r="S169" s="42">
        <f>COUNTIFS('Aug-24 CREDIT MIS'!S:S,"Visit Pending",'Aug-24 CREDIT MIS'!E:E,'Aug Dashboard.'!B169,'Aug-24 CREDIT MIS'!I:I,'Aug Dashboard.'!A169,'Aug-24 CREDIT MIS'!N:N,"Manoj Chauhan")</f>
        <v>4</v>
      </c>
      <c r="T169" s="42">
        <f>SUMIFS('Aug-24 CREDIT MIS'!T:T,'Aug-24 CREDIT MIS'!S:S,"Visit Pending",'Aug-24 CREDIT MIS'!E:E,'Aug Dashboard.'!B169,'Aug-24 CREDIT MIS'!I:I,'Aug Dashboard.'!A169,'Aug-24 CREDIT MIS'!N:N,"Manoj Chauhan")/100000</f>
        <v>31.9</v>
      </c>
    </row>
    <row r="170" spans="1:20" x14ac:dyDescent="0.25">
      <c r="A170" t="s">
        <v>498</v>
      </c>
      <c r="B170" s="45" t="s">
        <v>497</v>
      </c>
      <c r="C170" s="42">
        <f>COUNTIFS('Aug-24 CREDIT MIS'!C:C,"&lt;01-08-2024",'Aug-24 CREDIT MIS'!E:E,'Aug Dashboard.'!B170,'Aug-24 CREDIT MIS'!I:I,'Aug Dashboard.'!A170,'Aug-24 CREDIT MIS'!N:N,"Manoj Chauhan")</f>
        <v>0</v>
      </c>
      <c r="D170" s="42">
        <f>SUMIFS('Aug-24 CREDIT MIS'!T:T,'Aug-24 CREDIT MIS'!C:C,"&lt;01-08-2024",'Aug-24 CREDIT MIS'!E:E,'Aug Dashboard.'!B170,'Aug-24 CREDIT MIS'!I:I,'Aug Dashboard.'!A170,'Aug-24 CREDIT MIS'!N:N,"Manoj Chauhan")/100000</f>
        <v>0</v>
      </c>
      <c r="E170" s="42">
        <f>COUNTIFS('Aug-24 CREDIT MIS'!C:C,"&gt;=01-08-2024",'Aug-24 CREDIT MIS'!E:E,'Aug Dashboard.'!B170,'Aug-24 CREDIT MIS'!I:I,'Aug Dashboard.'!A170,'Aug-24 CREDIT MIS'!N:N,"Manoj Chauhan")</f>
        <v>0</v>
      </c>
      <c r="F170" s="43">
        <f>SUMIFS('Aug-24 CREDIT MIS'!T:T,'Aug-24 CREDIT MIS'!C:C,"&gt;=01-08-2024",'Aug-24 CREDIT MIS'!E:E,'Aug Dashboard.'!B170,'Aug-24 CREDIT MIS'!I:I,'Aug Dashboard.'!A170,'Aug-24 CREDIT MIS'!N:N,"Manoj Chauhan")/100000</f>
        <v>0</v>
      </c>
      <c r="G170" s="44">
        <f t="shared" ref="G170" si="58">E170+C170</f>
        <v>0</v>
      </c>
      <c r="H170" s="43">
        <f t="shared" ref="H170" si="59">F170+D170</f>
        <v>0</v>
      </c>
      <c r="I170" s="44">
        <f>COUNTIFS('Aug-24 CREDIT MIS'!S:S,"Sanction",'Aug-24 CREDIT MIS'!E:E,'Aug Dashboard.'!B170,'Aug-24 CREDIT MIS'!I:I,'Aug Dashboard.'!A170,'Aug-24 CREDIT MIS'!N:N,"Manoj Chauhan")+COUNTIFS('Aug-24 CREDIT MIS'!S:S,"Disbursed",'Aug-24 CREDIT MIS'!E:E,'Aug Dashboard.'!B170,'Aug-24 CREDIT MIS'!I:I,'Aug Dashboard.'!A170,'Aug-24 CREDIT MIS'!N:N,"Manoj Chauhan")</f>
        <v>0</v>
      </c>
      <c r="J170" s="43">
        <f>SUMIFS('Aug-24 CREDIT MIS'!V:V,'Aug-24 CREDIT MIS'!S:S,"Sanction",'Aug-24 CREDIT MIS'!E:E,'Aug Dashboard.'!B170,'Aug-24 CREDIT MIS'!I:I,'Aug Dashboard.'!A170,'Aug-24 CREDIT MIS'!N:N,"Manoj Chauhan")/100000+SUMIFS('Aug-24 CREDIT MIS'!V:V,'Aug-24 CREDIT MIS'!S:S,"Disbursed",'Aug-24 CREDIT MIS'!E:E,'Aug Dashboard.'!B170,'Aug-24 CREDIT MIS'!I:I,'Aug Dashboard.'!A170,'Aug-24 CREDIT MIS'!N:N,"Manoj Chauhan")/100000</f>
        <v>0</v>
      </c>
      <c r="K170" s="44">
        <f>COUNTIFS('Aug-24 CREDIT MIS'!S:S,"Reject",'Aug-24 CREDIT MIS'!E:E,'Aug Dashboard.'!B170,'Aug-24 CREDIT MIS'!I:I,'Aug Dashboard.'!A170,'Aug-24 CREDIT MIS'!N:N,"Manoj Chauhan")</f>
        <v>0</v>
      </c>
      <c r="L170" s="43">
        <f>SUMIFS('Aug-24 CREDIT MIS'!T:T,'Aug-24 CREDIT MIS'!S:S,"Reject",'Aug-24 CREDIT MIS'!E:E,'Aug Dashboard.'!B170,'Aug-24 CREDIT MIS'!I:I,'Aug Dashboard.'!A170,'Aug-24 CREDIT MIS'!N:N,"Manoj Chauhan")/100000</f>
        <v>0</v>
      </c>
      <c r="M170" s="44">
        <f>COUNTIFS('Aug-24 CREDIT MIS'!S:S,"Recommend",'Aug-24 CREDIT MIS'!E:E,'Aug Dashboard.'!B170,'Aug-24 CREDIT MIS'!I:I,'Aug Dashboard.'!A170,'Aug-24 CREDIT MIS'!N:N,"Manoj Chauhan")</f>
        <v>0</v>
      </c>
      <c r="N170" s="43">
        <f>SUMIFS('Aug-24 CREDIT MIS'!T:T,'Aug-24 CREDIT MIS'!S:S,"Recommend",'Aug-24 CREDIT MIS'!E:E,'Aug Dashboard.'!B170,'Aug-24 CREDIT MIS'!I:I,'Aug Dashboard.'!A170,'Aug-24 CREDIT MIS'!N:N,"Manoj Chauhan")/100000</f>
        <v>0</v>
      </c>
      <c r="O170" s="44">
        <f>COUNTIFS('Aug-24 CREDIT MIS'!S:S,"Query- Sales",'Aug-24 CREDIT MIS'!E:E,'Aug Dashboard.'!B170,'Aug-24 CREDIT MIS'!I:I,'Aug Dashboard.'!A170,'Aug-24 CREDIT MIS'!N:N,"Manoj Chauhan")</f>
        <v>0</v>
      </c>
      <c r="P170" s="43">
        <f>SUMIFS('Aug-24 CREDIT MIS'!T:T,'Aug-24 CREDIT MIS'!S:S,"Query- Sales",'Aug-24 CREDIT MIS'!E:E,'Aug Dashboard.'!B170,'Aug-24 CREDIT MIS'!I:I,'Aug Dashboard.'!A170,'Aug-24 CREDIT MIS'!N:N,"Manoj Chauhan")/100000</f>
        <v>0</v>
      </c>
      <c r="Q170" s="42">
        <f>COUNTIFS('Aug-24 CREDIT MIS'!S:S,"WIP- Credit",'Aug-24 CREDIT MIS'!E:E,'Aug Dashboard.'!B170,'Aug-24 CREDIT MIS'!I:I,'Aug Dashboard.'!A170,'Aug-24 CREDIT MIS'!N:N,"Manoj Chauhan")</f>
        <v>0</v>
      </c>
      <c r="R170" s="42">
        <f>SUMIFS('Aug-24 CREDIT MIS'!T:T,'Aug-24 CREDIT MIS'!S:S,"WIP- Credit",'Aug-24 CREDIT MIS'!E:E,'Aug Dashboard.'!B170,'Aug-24 CREDIT MIS'!I:I,'Aug Dashboard.'!A170,'Aug-24 CREDIT MIS'!N:N,"Manoj Chauhan")/100000</f>
        <v>0</v>
      </c>
      <c r="S170" s="42">
        <f>COUNTIFS('Aug-24 CREDIT MIS'!S:S,"Visit Pending",'Aug-24 CREDIT MIS'!E:E,'Aug Dashboard.'!B170,'Aug-24 CREDIT MIS'!I:I,'Aug Dashboard.'!A170,'Aug-24 CREDIT MIS'!N:N,"Manoj Chauhan")</f>
        <v>0</v>
      </c>
      <c r="T170" s="42">
        <f>SUMIFS('Aug-24 CREDIT MIS'!T:T,'Aug-24 CREDIT MIS'!S:S,"Visit Pending",'Aug-24 CREDIT MIS'!E:E,'Aug Dashboard.'!B170,'Aug-24 CREDIT MIS'!I:I,'Aug Dashboard.'!A170,'Aug-24 CREDIT MIS'!N:N,"Manoj Chauhan")/100000</f>
        <v>0</v>
      </c>
    </row>
    <row r="171" spans="1:20" x14ac:dyDescent="0.25">
      <c r="A171" s="16" t="s">
        <v>159</v>
      </c>
      <c r="B171" s="16" t="s">
        <v>17</v>
      </c>
      <c r="C171" s="42">
        <f>COUNTIFS('Aug-24 CREDIT MIS'!C:C,"&lt;01-08-2024",'Aug-24 CREDIT MIS'!E:E,'Aug Dashboard.'!B171,'Aug-24 CREDIT MIS'!I:I,'Aug Dashboard.'!A171,'Aug-24 CREDIT MIS'!N:N,"Manoj Chauhan")</f>
        <v>0</v>
      </c>
      <c r="D171" s="42">
        <f>SUMIFS('Aug-24 CREDIT MIS'!T:T,'Aug-24 CREDIT MIS'!C:C,"&lt;01-08-2024",'Aug-24 CREDIT MIS'!E:E,'Aug Dashboard.'!B171,'Aug-24 CREDIT MIS'!I:I,'Aug Dashboard.'!A171,'Aug-24 CREDIT MIS'!N:N,"Manoj Chauhan")/100000</f>
        <v>0</v>
      </c>
      <c r="E171" s="42">
        <f>COUNTIFS('Aug-24 CREDIT MIS'!C:C,"&gt;=01-08-2024",'Aug-24 CREDIT MIS'!E:E,'Aug Dashboard.'!B171,'Aug-24 CREDIT MIS'!I:I,'Aug Dashboard.'!A171,'Aug-24 CREDIT MIS'!N:N,"Manoj Chauhan")</f>
        <v>2</v>
      </c>
      <c r="F171" s="43">
        <f>SUMIFS('Aug-24 CREDIT MIS'!T:T,'Aug-24 CREDIT MIS'!C:C,"&gt;=01-08-2024",'Aug-24 CREDIT MIS'!E:E,'Aug Dashboard.'!B171,'Aug-24 CREDIT MIS'!I:I,'Aug Dashboard.'!A171,'Aug-24 CREDIT MIS'!N:N,"Manoj Chauhan")/100000</f>
        <v>18</v>
      </c>
      <c r="G171" s="44">
        <f t="shared" si="56"/>
        <v>2</v>
      </c>
      <c r="H171" s="43">
        <f t="shared" si="57"/>
        <v>18</v>
      </c>
      <c r="I171" s="44">
        <f>COUNTIFS('Aug-24 CREDIT MIS'!S:S,"Sanction",'Aug-24 CREDIT MIS'!E:E,'Aug Dashboard.'!B171,'Aug-24 CREDIT MIS'!I:I,'Aug Dashboard.'!A171,'Aug-24 CREDIT MIS'!N:N,"Manoj Chauhan")+COUNTIFS('Aug-24 CREDIT MIS'!S:S,"Disbursed",'Aug-24 CREDIT MIS'!E:E,'Aug Dashboard.'!B171,'Aug-24 CREDIT MIS'!I:I,'Aug Dashboard.'!A171,'Aug-24 CREDIT MIS'!N:N,"Manoj Chauhan")</f>
        <v>0</v>
      </c>
      <c r="J171" s="43">
        <f>SUMIFS('Aug-24 CREDIT MIS'!V:V,'Aug-24 CREDIT MIS'!S:S,"Sanction",'Aug-24 CREDIT MIS'!E:E,'Aug Dashboard.'!B171,'Aug-24 CREDIT MIS'!I:I,'Aug Dashboard.'!A171,'Aug-24 CREDIT MIS'!N:N,"Manoj Chauhan")/100000+SUMIFS('Aug-24 CREDIT MIS'!V:V,'Aug-24 CREDIT MIS'!S:S,"Disbursed",'Aug-24 CREDIT MIS'!E:E,'Aug Dashboard.'!B171,'Aug-24 CREDIT MIS'!I:I,'Aug Dashboard.'!A171,'Aug-24 CREDIT MIS'!N:N,"Manoj Chauhan")/100000</f>
        <v>0</v>
      </c>
      <c r="K171" s="44">
        <f>COUNTIFS('Aug-24 CREDIT MIS'!S:S,"Reject",'Aug-24 CREDIT MIS'!E:E,'Aug Dashboard.'!B171,'Aug-24 CREDIT MIS'!I:I,'Aug Dashboard.'!A171,'Aug-24 CREDIT MIS'!N:N,"Manoj Chauhan")</f>
        <v>0</v>
      </c>
      <c r="L171" s="43">
        <f>SUMIFS('Aug-24 CREDIT MIS'!T:T,'Aug-24 CREDIT MIS'!S:S,"Reject",'Aug-24 CREDIT MIS'!E:E,'Aug Dashboard.'!B171,'Aug-24 CREDIT MIS'!I:I,'Aug Dashboard.'!A171,'Aug-24 CREDIT MIS'!N:N,"Manoj Chauhan")/100000</f>
        <v>0</v>
      </c>
      <c r="M171" s="44">
        <f>COUNTIFS('Aug-24 CREDIT MIS'!S:S,"Recommend",'Aug-24 CREDIT MIS'!E:E,'Aug Dashboard.'!B171,'Aug-24 CREDIT MIS'!I:I,'Aug Dashboard.'!A171,'Aug-24 CREDIT MIS'!N:N,"Manoj Chauhan")</f>
        <v>0</v>
      </c>
      <c r="N171" s="43">
        <f>SUMIFS('Aug-24 CREDIT MIS'!T:T,'Aug-24 CREDIT MIS'!S:S,"Recommend",'Aug-24 CREDIT MIS'!E:E,'Aug Dashboard.'!B171,'Aug-24 CREDIT MIS'!I:I,'Aug Dashboard.'!A171,'Aug-24 CREDIT MIS'!N:N,"Manoj Chauhan")/100000</f>
        <v>0</v>
      </c>
      <c r="O171" s="44">
        <f>COUNTIFS('Aug-24 CREDIT MIS'!S:S,"Query- Sales",'Aug-24 CREDIT MIS'!E:E,'Aug Dashboard.'!B171,'Aug-24 CREDIT MIS'!I:I,'Aug Dashboard.'!A171,'Aug-24 CREDIT MIS'!N:N,"Manoj Chauhan")</f>
        <v>0</v>
      </c>
      <c r="P171" s="43">
        <f>SUMIFS('Aug-24 CREDIT MIS'!T:T,'Aug-24 CREDIT MIS'!S:S,"Query- Sales",'Aug-24 CREDIT MIS'!E:E,'Aug Dashboard.'!B171,'Aug-24 CREDIT MIS'!I:I,'Aug Dashboard.'!A171,'Aug-24 CREDIT MIS'!N:N,"Manoj Chauhan")/100000</f>
        <v>0</v>
      </c>
      <c r="Q171" s="42">
        <f>COUNTIFS('Aug-24 CREDIT MIS'!S:S,"WIP- Credit",'Aug-24 CREDIT MIS'!E:E,'Aug Dashboard.'!B171,'Aug-24 CREDIT MIS'!I:I,'Aug Dashboard.'!A171,'Aug-24 CREDIT MIS'!N:N,"Manoj Chauhan")</f>
        <v>0</v>
      </c>
      <c r="R171" s="42">
        <f>SUMIFS('Aug-24 CREDIT MIS'!T:T,'Aug-24 CREDIT MIS'!S:S,"WIP- Credit",'Aug-24 CREDIT MIS'!E:E,'Aug Dashboard.'!B171,'Aug-24 CREDIT MIS'!I:I,'Aug Dashboard.'!A171,'Aug-24 CREDIT MIS'!N:N,"Manoj Chauhan")/100000</f>
        <v>0</v>
      </c>
      <c r="S171" s="42">
        <f>COUNTIFS('Aug-24 CREDIT MIS'!S:S,"Visit Pending",'Aug-24 CREDIT MIS'!E:E,'Aug Dashboard.'!B171,'Aug-24 CREDIT MIS'!I:I,'Aug Dashboard.'!A171,'Aug-24 CREDIT MIS'!N:N,"Manoj Chauhan")</f>
        <v>2</v>
      </c>
      <c r="T171" s="42">
        <f>SUMIFS('Aug-24 CREDIT MIS'!T:T,'Aug-24 CREDIT MIS'!S:S,"Visit Pending",'Aug-24 CREDIT MIS'!E:E,'Aug Dashboard.'!B171,'Aug-24 CREDIT MIS'!I:I,'Aug Dashboard.'!A171,'Aug-24 CREDIT MIS'!N:N,"Manoj Chauhan")/100000</f>
        <v>18</v>
      </c>
    </row>
    <row r="172" spans="1:20" x14ac:dyDescent="0.25">
      <c r="A172" s="46" t="s">
        <v>158</v>
      </c>
      <c r="B172" s="46" t="s">
        <v>83</v>
      </c>
      <c r="C172" s="42">
        <f>COUNTIFS('Aug-24 CREDIT MIS'!C:C,"&lt;01-08-2024",'Aug-24 CREDIT MIS'!E:E,'Aug Dashboard.'!B172,'Aug-24 CREDIT MIS'!I:I,'Aug Dashboard.'!A172,'Aug-24 CREDIT MIS'!N:N,"Manoj Chauhan")</f>
        <v>0</v>
      </c>
      <c r="D172" s="42">
        <f>SUMIFS('Aug-24 CREDIT MIS'!T:T,'Aug-24 CREDIT MIS'!C:C,"&lt;01-08-2024",'Aug-24 CREDIT MIS'!E:E,'Aug Dashboard.'!B172,'Aug-24 CREDIT MIS'!I:I,'Aug Dashboard.'!A172,'Aug-24 CREDIT MIS'!N:N,"Manoj Chauhan")/100000</f>
        <v>0</v>
      </c>
      <c r="E172" s="42">
        <f>COUNTIFS('Aug-24 CREDIT MIS'!C:C,"&gt;=01-08-2024",'Aug-24 CREDIT MIS'!E:E,'Aug Dashboard.'!B172,'Aug-24 CREDIT MIS'!I:I,'Aug Dashboard.'!A172,'Aug-24 CREDIT MIS'!N:N,"Manoj Chauhan")</f>
        <v>0</v>
      </c>
      <c r="F172" s="43">
        <f>SUMIFS('Aug-24 CREDIT MIS'!T:T,'Aug-24 CREDIT MIS'!C:C,"&gt;=01-08-2024",'Aug-24 CREDIT MIS'!E:E,'Aug Dashboard.'!B172,'Aug-24 CREDIT MIS'!I:I,'Aug Dashboard.'!A172,'Aug-24 CREDIT MIS'!N:N,"Manoj Chauhan")/100000</f>
        <v>0</v>
      </c>
      <c r="G172" s="44">
        <f t="shared" si="56"/>
        <v>0</v>
      </c>
      <c r="H172" s="43">
        <f t="shared" si="57"/>
        <v>0</v>
      </c>
      <c r="I172" s="44">
        <f>COUNTIFS('Aug-24 CREDIT MIS'!S:S,"Sanction",'Aug-24 CREDIT MIS'!E:E,'Aug Dashboard.'!B172,'Aug-24 CREDIT MIS'!I:I,'Aug Dashboard.'!A172,'Aug-24 CREDIT MIS'!N:N,"Manoj Chauhan")+COUNTIFS('Aug-24 CREDIT MIS'!S:S,"Disbursed",'Aug-24 CREDIT MIS'!E:E,'Aug Dashboard.'!B172,'Aug-24 CREDIT MIS'!I:I,'Aug Dashboard.'!A172,'Aug-24 CREDIT MIS'!N:N,"Manoj Chauhan")</f>
        <v>0</v>
      </c>
      <c r="J172" s="43">
        <f>SUMIFS('Aug-24 CREDIT MIS'!V:V,'Aug-24 CREDIT MIS'!S:S,"Sanction",'Aug-24 CREDIT MIS'!E:E,'Aug Dashboard.'!B172,'Aug-24 CREDIT MIS'!I:I,'Aug Dashboard.'!A172,'Aug-24 CREDIT MIS'!N:N,"Manoj Chauhan")/100000+SUMIFS('Aug-24 CREDIT MIS'!V:V,'Aug-24 CREDIT MIS'!S:S,"Disbursed",'Aug-24 CREDIT MIS'!E:E,'Aug Dashboard.'!B172,'Aug-24 CREDIT MIS'!I:I,'Aug Dashboard.'!A172,'Aug-24 CREDIT MIS'!N:N,"Manoj Chauhan")/100000</f>
        <v>0</v>
      </c>
      <c r="K172" s="44">
        <f>COUNTIFS('Aug-24 CREDIT MIS'!S:S,"Reject",'Aug-24 CREDIT MIS'!E:E,'Aug Dashboard.'!B172,'Aug-24 CREDIT MIS'!I:I,'Aug Dashboard.'!A172,'Aug-24 CREDIT MIS'!N:N,"Manoj Chauhan")</f>
        <v>0</v>
      </c>
      <c r="L172" s="43">
        <f>SUMIFS('Aug-24 CREDIT MIS'!T:T,'Aug-24 CREDIT MIS'!S:S,"Reject",'Aug-24 CREDIT MIS'!E:E,'Aug Dashboard.'!B172,'Aug-24 CREDIT MIS'!I:I,'Aug Dashboard.'!A172,'Aug-24 CREDIT MIS'!N:N,"Manoj Chauhan")/100000</f>
        <v>0</v>
      </c>
      <c r="M172" s="44">
        <f>COUNTIFS('Aug-24 CREDIT MIS'!S:S,"Recommend",'Aug-24 CREDIT MIS'!E:E,'Aug Dashboard.'!B172,'Aug-24 CREDIT MIS'!I:I,'Aug Dashboard.'!A172,'Aug-24 CREDIT MIS'!N:N,"Manoj Chauhan")</f>
        <v>0</v>
      </c>
      <c r="N172" s="43">
        <f>SUMIFS('Aug-24 CREDIT MIS'!T:T,'Aug-24 CREDIT MIS'!S:S,"Recommend",'Aug-24 CREDIT MIS'!E:E,'Aug Dashboard.'!B172,'Aug-24 CREDIT MIS'!I:I,'Aug Dashboard.'!A172,'Aug-24 CREDIT MIS'!N:N,"Manoj Chauhan")/100000</f>
        <v>0</v>
      </c>
      <c r="O172" s="44">
        <f>COUNTIFS('Aug-24 CREDIT MIS'!S:S,"Query- Sales",'Aug-24 CREDIT MIS'!E:E,'Aug Dashboard.'!B172,'Aug-24 CREDIT MIS'!I:I,'Aug Dashboard.'!A172,'Aug-24 CREDIT MIS'!N:N,"Manoj Chauhan")</f>
        <v>0</v>
      </c>
      <c r="P172" s="43">
        <f>SUMIFS('Aug-24 CREDIT MIS'!T:T,'Aug-24 CREDIT MIS'!S:S,"Query- Sales",'Aug-24 CREDIT MIS'!E:E,'Aug Dashboard.'!B172,'Aug-24 CREDIT MIS'!I:I,'Aug Dashboard.'!A172,'Aug-24 CREDIT MIS'!N:N,"Manoj Chauhan")/100000</f>
        <v>0</v>
      </c>
      <c r="Q172" s="42">
        <f>COUNTIFS('Aug-24 CREDIT MIS'!S:S,"WIP- Credit",'Aug-24 CREDIT MIS'!E:E,'Aug Dashboard.'!B172,'Aug-24 CREDIT MIS'!I:I,'Aug Dashboard.'!A172,'Aug-24 CREDIT MIS'!N:N,"Manoj Chauhan")</f>
        <v>0</v>
      </c>
      <c r="R172" s="42">
        <f>SUMIFS('Aug-24 CREDIT MIS'!T:T,'Aug-24 CREDIT MIS'!S:S,"WIP- Credit",'Aug-24 CREDIT MIS'!E:E,'Aug Dashboard.'!B172,'Aug-24 CREDIT MIS'!I:I,'Aug Dashboard.'!A172,'Aug-24 CREDIT MIS'!N:N,"Manoj Chauhan")/100000</f>
        <v>0</v>
      </c>
      <c r="S172" s="42">
        <f>COUNTIFS('Aug-24 CREDIT MIS'!S:S,"Visit Pending",'Aug-24 CREDIT MIS'!E:E,'Aug Dashboard.'!B172,'Aug-24 CREDIT MIS'!I:I,'Aug Dashboard.'!A172,'Aug-24 CREDIT MIS'!N:N,"Manoj Chauhan")</f>
        <v>0</v>
      </c>
      <c r="T172" s="42">
        <f>SUMIFS('Aug-24 CREDIT MIS'!T:T,'Aug-24 CREDIT MIS'!S:S,"Visit Pending",'Aug-24 CREDIT MIS'!E:E,'Aug Dashboard.'!B172,'Aug-24 CREDIT MIS'!I:I,'Aug Dashboard.'!A172,'Aug-24 CREDIT MIS'!N:N,"Manoj Chauhan")/100000</f>
        <v>0</v>
      </c>
    </row>
    <row r="173" spans="1:20" x14ac:dyDescent="0.25">
      <c r="A173" s="137" t="s">
        <v>487</v>
      </c>
      <c r="B173" s="138" t="s">
        <v>485</v>
      </c>
      <c r="C173" s="42">
        <f>COUNTIFS('Aug-24 CREDIT MIS'!C:C,"&lt;01-08-2024",'Aug-24 CREDIT MIS'!E:E,'Aug Dashboard.'!B173,'Aug-24 CREDIT MIS'!I:I,'Aug Dashboard.'!A173,'Aug-24 CREDIT MIS'!N:N,"Manoj Chauhan")</f>
        <v>1</v>
      </c>
      <c r="D173" s="42">
        <f>SUMIFS('Aug-24 CREDIT MIS'!T:T,'Aug-24 CREDIT MIS'!C:C,"&lt;01-08-2024",'Aug-24 CREDIT MIS'!E:E,'Aug Dashboard.'!B173,'Aug-24 CREDIT MIS'!I:I,'Aug Dashboard.'!A173,'Aug-24 CREDIT MIS'!N:N,"Manoj Chauhan")/100000</f>
        <v>3</v>
      </c>
      <c r="E173" s="42">
        <f>COUNTIFS('Aug-24 CREDIT MIS'!C:C,"&gt;=01-08-2024",'Aug-24 CREDIT MIS'!E:E,'Aug Dashboard.'!B173,'Aug-24 CREDIT MIS'!I:I,'Aug Dashboard.'!A173,'Aug-24 CREDIT MIS'!N:N,"Manoj Chauhan")</f>
        <v>2</v>
      </c>
      <c r="F173" s="43">
        <f>SUMIFS('Aug-24 CREDIT MIS'!T:T,'Aug-24 CREDIT MIS'!C:C,"&gt;=01-08-2024",'Aug-24 CREDIT MIS'!E:E,'Aug Dashboard.'!B173,'Aug-24 CREDIT MIS'!I:I,'Aug Dashboard.'!A173,'Aug-24 CREDIT MIS'!N:N,"Manoj Chauhan")/100000</f>
        <v>9.5</v>
      </c>
      <c r="G173" s="44">
        <f t="shared" ref="G173" si="60">E173+C173</f>
        <v>3</v>
      </c>
      <c r="H173" s="43">
        <f t="shared" ref="H173" si="61">F173+D173</f>
        <v>12.5</v>
      </c>
      <c r="I173" s="44">
        <f>COUNTIFS('Aug-24 CREDIT MIS'!S:S,"Sanction",'Aug-24 CREDIT MIS'!E:E,'Aug Dashboard.'!B173,'Aug-24 CREDIT MIS'!I:I,'Aug Dashboard.'!A173,'Aug-24 CREDIT MIS'!N:N,"Manoj Chauhan")+COUNTIFS('Aug-24 CREDIT MIS'!S:S,"Disbursed",'Aug-24 CREDIT MIS'!E:E,'Aug Dashboard.'!B173,'Aug-24 CREDIT MIS'!I:I,'Aug Dashboard.'!A173,'Aug-24 CREDIT MIS'!N:N,"Manoj Chauhan")</f>
        <v>0</v>
      </c>
      <c r="J173" s="43">
        <f>SUMIFS('Aug-24 CREDIT MIS'!V:V,'Aug-24 CREDIT MIS'!S:S,"Sanction",'Aug-24 CREDIT MIS'!E:E,'Aug Dashboard.'!B173,'Aug-24 CREDIT MIS'!I:I,'Aug Dashboard.'!A173,'Aug-24 CREDIT MIS'!N:N,"Manoj Chauhan")/100000+SUMIFS('Aug-24 CREDIT MIS'!V:V,'Aug-24 CREDIT MIS'!S:S,"Disbursed",'Aug-24 CREDIT MIS'!E:E,'Aug Dashboard.'!B173,'Aug-24 CREDIT MIS'!I:I,'Aug Dashboard.'!A173,'Aug-24 CREDIT MIS'!N:N,"Manoj Chauhan")/100000</f>
        <v>0</v>
      </c>
      <c r="K173" s="44">
        <f>COUNTIFS('Aug-24 CREDIT MIS'!S:S,"Reject",'Aug-24 CREDIT MIS'!E:E,'Aug Dashboard.'!B173,'Aug-24 CREDIT MIS'!I:I,'Aug Dashboard.'!A173,'Aug-24 CREDIT MIS'!N:N,"Manoj Chauhan")</f>
        <v>1</v>
      </c>
      <c r="L173" s="43">
        <f>SUMIFS('Aug-24 CREDIT MIS'!T:T,'Aug-24 CREDIT MIS'!S:S,"Reject",'Aug-24 CREDIT MIS'!E:E,'Aug Dashboard.'!B173,'Aug-24 CREDIT MIS'!I:I,'Aug Dashboard.'!A173,'Aug-24 CREDIT MIS'!N:N,"Manoj Chauhan")/100000</f>
        <v>4.5</v>
      </c>
      <c r="M173" s="44">
        <f>COUNTIFS('Aug-24 CREDIT MIS'!S:S,"Recommend",'Aug-24 CREDIT MIS'!E:E,'Aug Dashboard.'!B173,'Aug-24 CREDIT MIS'!I:I,'Aug Dashboard.'!A173,'Aug-24 CREDIT MIS'!N:N,"Manoj Chauhan")</f>
        <v>1</v>
      </c>
      <c r="N173" s="43">
        <f>SUMIFS('Aug-24 CREDIT MIS'!T:T,'Aug-24 CREDIT MIS'!S:S,"Recommend",'Aug-24 CREDIT MIS'!E:E,'Aug Dashboard.'!B173,'Aug-24 CREDIT MIS'!I:I,'Aug Dashboard.'!A173,'Aug-24 CREDIT MIS'!N:N,"Manoj Chauhan")/100000</f>
        <v>3</v>
      </c>
      <c r="O173" s="44">
        <f>COUNTIFS('Aug-24 CREDIT MIS'!S:S,"Query- Sales",'Aug-24 CREDIT MIS'!E:E,'Aug Dashboard.'!B173,'Aug-24 CREDIT MIS'!I:I,'Aug Dashboard.'!A173,'Aug-24 CREDIT MIS'!N:N,"Manoj Chauhan")</f>
        <v>0</v>
      </c>
      <c r="P173" s="43">
        <f>SUMIFS('Aug-24 CREDIT MIS'!T:T,'Aug-24 CREDIT MIS'!S:S,"Query- Sales",'Aug-24 CREDIT MIS'!E:E,'Aug Dashboard.'!B173,'Aug-24 CREDIT MIS'!I:I,'Aug Dashboard.'!A173,'Aug-24 CREDIT MIS'!N:N,"Manoj Chauhan")/100000</f>
        <v>0</v>
      </c>
      <c r="Q173" s="42">
        <f>COUNTIFS('Aug-24 CREDIT MIS'!S:S,"WIP- Credit",'Aug-24 CREDIT MIS'!E:E,'Aug Dashboard.'!B173,'Aug-24 CREDIT MIS'!I:I,'Aug Dashboard.'!A173,'Aug-24 CREDIT MIS'!N:N,"Manoj Chauhan")</f>
        <v>0</v>
      </c>
      <c r="R173" s="42">
        <f>SUMIFS('Aug-24 CREDIT MIS'!T:T,'Aug-24 CREDIT MIS'!S:S,"WIP- Credit",'Aug-24 CREDIT MIS'!E:E,'Aug Dashboard.'!B173,'Aug-24 CREDIT MIS'!I:I,'Aug Dashboard.'!A173,'Aug-24 CREDIT MIS'!N:N,"Manoj Chauhan")/100000</f>
        <v>0</v>
      </c>
      <c r="S173" s="42">
        <f>COUNTIFS('Aug-24 CREDIT MIS'!S:S,"Visit Pending",'Aug-24 CREDIT MIS'!E:E,'Aug Dashboard.'!B173,'Aug-24 CREDIT MIS'!I:I,'Aug Dashboard.'!A173,'Aug-24 CREDIT MIS'!N:N,"Manoj Chauhan")</f>
        <v>1</v>
      </c>
      <c r="T173" s="42">
        <f>SUMIFS('Aug-24 CREDIT MIS'!T:T,'Aug-24 CREDIT MIS'!S:S,"Visit Pending",'Aug-24 CREDIT MIS'!E:E,'Aug Dashboard.'!B173,'Aug-24 CREDIT MIS'!I:I,'Aug Dashboard.'!A173,'Aug-24 CREDIT MIS'!N:N,"Manoj Chauhan")/100000</f>
        <v>5</v>
      </c>
    </row>
    <row r="174" spans="1:20" s="49" customFormat="1" ht="15.75" thickBot="1" x14ac:dyDescent="0.3">
      <c r="A174" s="49" t="s">
        <v>157</v>
      </c>
      <c r="B174" s="50" t="s">
        <v>66</v>
      </c>
      <c r="C174" s="42">
        <f>COUNTIFS('Aug-24 CREDIT MIS'!C:C,"&lt;01-08-2024",'Aug-24 CREDIT MIS'!E:E,'Aug Dashboard.'!B174,'Aug-24 CREDIT MIS'!I:I,'Aug Dashboard.'!A174,'Aug-24 CREDIT MIS'!N:N,"Manoj Chauhan")</f>
        <v>0</v>
      </c>
      <c r="D174" s="42">
        <f>SUMIFS('Aug-24 CREDIT MIS'!T:T,'Aug-24 CREDIT MIS'!C:C,"&lt;01-08-2024",'Aug-24 CREDIT MIS'!E:E,'Aug Dashboard.'!B174,'Aug-24 CREDIT MIS'!I:I,'Aug Dashboard.'!A174,'Aug-24 CREDIT MIS'!N:N,"Manoj Chauhan")/100000</f>
        <v>0</v>
      </c>
      <c r="E174" s="42">
        <f>COUNTIFS('Aug-24 CREDIT MIS'!C:C,"&gt;=01-08-2024",'Aug-24 CREDIT MIS'!E:E,'Aug Dashboard.'!B174,'Aug-24 CREDIT MIS'!I:I,'Aug Dashboard.'!A174,'Aug-24 CREDIT MIS'!N:N,"Manoj Chauhan")</f>
        <v>1</v>
      </c>
      <c r="F174" s="43">
        <f>SUMIFS('Aug-24 CREDIT MIS'!T:T,'Aug-24 CREDIT MIS'!C:C,"&gt;=01-08-2024",'Aug-24 CREDIT MIS'!E:E,'Aug Dashboard.'!B174,'Aug-24 CREDIT MIS'!I:I,'Aug Dashboard.'!A174,'Aug-24 CREDIT MIS'!N:N,"Manoj Chauhan")/100000</f>
        <v>6</v>
      </c>
      <c r="G174" s="44">
        <f t="shared" si="56"/>
        <v>1</v>
      </c>
      <c r="H174" s="43">
        <f t="shared" si="57"/>
        <v>6</v>
      </c>
      <c r="I174" s="44">
        <f>COUNTIFS('Aug-24 CREDIT MIS'!S:S,"Sanction",'Aug-24 CREDIT MIS'!E:E,'Aug Dashboard.'!B174,'Aug-24 CREDIT MIS'!I:I,'Aug Dashboard.'!A174,'Aug-24 CREDIT MIS'!N:N,"Manoj Chauhan")+COUNTIFS('Aug-24 CREDIT MIS'!S:S,"Disbursed",'Aug-24 CREDIT MIS'!E:E,'Aug Dashboard.'!B174,'Aug-24 CREDIT MIS'!I:I,'Aug Dashboard.'!A174,'Aug-24 CREDIT MIS'!N:N,"Manoj Chauhan")</f>
        <v>0</v>
      </c>
      <c r="J174" s="43">
        <f>SUMIFS('Aug-24 CREDIT MIS'!V:V,'Aug-24 CREDIT MIS'!S:S,"Sanction",'Aug-24 CREDIT MIS'!E:E,'Aug Dashboard.'!B174,'Aug-24 CREDIT MIS'!I:I,'Aug Dashboard.'!A174,'Aug-24 CREDIT MIS'!N:N,"Manoj Chauhan")/100000+SUMIFS('Aug-24 CREDIT MIS'!V:V,'Aug-24 CREDIT MIS'!S:S,"Disbursed",'Aug-24 CREDIT MIS'!E:E,'Aug Dashboard.'!B174,'Aug-24 CREDIT MIS'!I:I,'Aug Dashboard.'!A174,'Aug-24 CREDIT MIS'!N:N,"Manoj Chauhan")/100000</f>
        <v>0</v>
      </c>
      <c r="K174" s="44">
        <f>COUNTIFS('Aug-24 CREDIT MIS'!S:S,"Reject",'Aug-24 CREDIT MIS'!E:E,'Aug Dashboard.'!B174,'Aug-24 CREDIT MIS'!I:I,'Aug Dashboard.'!A174,'Aug-24 CREDIT MIS'!N:N,"Manoj Chauhan")</f>
        <v>0</v>
      </c>
      <c r="L174" s="43">
        <f>SUMIFS('Aug-24 CREDIT MIS'!T:T,'Aug-24 CREDIT MIS'!S:S,"Reject",'Aug-24 CREDIT MIS'!E:E,'Aug Dashboard.'!B174,'Aug-24 CREDIT MIS'!I:I,'Aug Dashboard.'!A174,'Aug-24 CREDIT MIS'!N:N,"Manoj Chauhan")/100000</f>
        <v>0</v>
      </c>
      <c r="M174" s="44">
        <f>COUNTIFS('Aug-24 CREDIT MIS'!S:S,"Recommend",'Aug-24 CREDIT MIS'!E:E,'Aug Dashboard.'!B174,'Aug-24 CREDIT MIS'!I:I,'Aug Dashboard.'!A174,'Aug-24 CREDIT MIS'!N:N,"Manoj Chauhan")</f>
        <v>0</v>
      </c>
      <c r="N174" s="43">
        <f>SUMIFS('Aug-24 CREDIT MIS'!T:T,'Aug-24 CREDIT MIS'!S:S,"Recommend",'Aug-24 CREDIT MIS'!E:E,'Aug Dashboard.'!B174,'Aug-24 CREDIT MIS'!I:I,'Aug Dashboard.'!A174,'Aug-24 CREDIT MIS'!N:N,"Manoj Chauhan")/100000</f>
        <v>0</v>
      </c>
      <c r="O174" s="44">
        <f>COUNTIFS('Aug-24 CREDIT MIS'!S:S,"Query- Sales",'Aug-24 CREDIT MIS'!E:E,'Aug Dashboard.'!B174,'Aug-24 CREDIT MIS'!I:I,'Aug Dashboard.'!A174,'Aug-24 CREDIT MIS'!N:N,"Manoj Chauhan")</f>
        <v>1</v>
      </c>
      <c r="P174" s="43">
        <f>SUMIFS('Aug-24 CREDIT MIS'!T:T,'Aug-24 CREDIT MIS'!S:S,"Query- Sales",'Aug-24 CREDIT MIS'!E:E,'Aug Dashboard.'!B174,'Aug-24 CREDIT MIS'!I:I,'Aug Dashboard.'!A174,'Aug-24 CREDIT MIS'!N:N,"Manoj Chauhan")/100000</f>
        <v>6</v>
      </c>
      <c r="Q174" s="42">
        <f>COUNTIFS('Aug-24 CREDIT MIS'!S:S,"WIP- Credit",'Aug-24 CREDIT MIS'!E:E,'Aug Dashboard.'!B174,'Aug-24 CREDIT MIS'!I:I,'Aug Dashboard.'!A174,'Aug-24 CREDIT MIS'!N:N,"Manoj Chauhan")</f>
        <v>0</v>
      </c>
      <c r="R174" s="42">
        <f>SUMIFS('Aug-24 CREDIT MIS'!T:T,'Aug-24 CREDIT MIS'!S:S,"WIP- Credit",'Aug-24 CREDIT MIS'!E:E,'Aug Dashboard.'!B174,'Aug-24 CREDIT MIS'!I:I,'Aug Dashboard.'!A174,'Aug-24 CREDIT MIS'!N:N,"Manoj Chauhan")/100000</f>
        <v>0</v>
      </c>
      <c r="S174" s="42">
        <f>COUNTIFS('Aug-24 CREDIT MIS'!S:S,"Visit Pending",'Aug-24 CREDIT MIS'!E:E,'Aug Dashboard.'!B174,'Aug-24 CREDIT MIS'!I:I,'Aug Dashboard.'!A174,'Aug-24 CREDIT MIS'!N:N,"Manoj Chauhan")</f>
        <v>0</v>
      </c>
      <c r="T174" s="42">
        <f>SUMIFS('Aug-24 CREDIT MIS'!T:T,'Aug-24 CREDIT MIS'!S:S,"Visit Pending",'Aug-24 CREDIT MIS'!E:E,'Aug Dashboard.'!B174,'Aug-24 CREDIT MIS'!I:I,'Aug Dashboard.'!A174,'Aug-24 CREDIT MIS'!N:N,"Manoj Chauhan")/100000</f>
        <v>0</v>
      </c>
    </row>
    <row r="175" spans="1:20" s="47" customFormat="1" x14ac:dyDescent="0.25">
      <c r="A175" s="48" t="s">
        <v>156</v>
      </c>
      <c r="B175" s="48" t="s">
        <v>46</v>
      </c>
      <c r="C175" s="42">
        <f>COUNTIFS('Aug-24 CREDIT MIS'!C:C,"&lt;01-08-2024",'Aug-24 CREDIT MIS'!E:E,'Aug Dashboard.'!B175,'Aug-24 CREDIT MIS'!I:I,'Aug Dashboard.'!A175,'Aug-24 CREDIT MIS'!N:N,"Manoj Chauhan")</f>
        <v>0</v>
      </c>
      <c r="D175" s="42">
        <f>SUMIFS('Aug-24 CREDIT MIS'!T:T,'Aug-24 CREDIT MIS'!C:C,"&lt;01-08-2024",'Aug-24 CREDIT MIS'!E:E,'Aug Dashboard.'!B175,'Aug-24 CREDIT MIS'!I:I,'Aug Dashboard.'!A175,'Aug-24 CREDIT MIS'!N:N,"Manoj Chauhan")/100000</f>
        <v>0</v>
      </c>
      <c r="E175" s="42">
        <f>COUNTIFS('Aug-24 CREDIT MIS'!C:C,"&gt;=01-08-2024",'Aug-24 CREDIT MIS'!E:E,'Aug Dashboard.'!B175,'Aug-24 CREDIT MIS'!I:I,'Aug Dashboard.'!A175,'Aug-24 CREDIT MIS'!N:N,"Manoj Chauhan")</f>
        <v>3</v>
      </c>
      <c r="F175" s="43">
        <f>SUMIFS('Aug-24 CREDIT MIS'!T:T,'Aug-24 CREDIT MIS'!C:C,"&gt;=01-08-2024",'Aug-24 CREDIT MIS'!E:E,'Aug Dashboard.'!B175,'Aug-24 CREDIT MIS'!I:I,'Aug Dashboard.'!A175,'Aug-24 CREDIT MIS'!N:N,"Manoj Chauhan")/100000</f>
        <v>14</v>
      </c>
      <c r="G175" s="44">
        <f t="shared" si="56"/>
        <v>3</v>
      </c>
      <c r="H175" s="43">
        <f t="shared" si="57"/>
        <v>14</v>
      </c>
      <c r="I175" s="44">
        <f>COUNTIFS('Aug-24 CREDIT MIS'!S:S,"Sanction",'Aug-24 CREDIT MIS'!E:E,'Aug Dashboard.'!B175,'Aug-24 CREDIT MIS'!I:I,'Aug Dashboard.'!A175,'Aug-24 CREDIT MIS'!N:N,"Manoj Chauhan")+COUNTIFS('Aug-24 CREDIT MIS'!S:S,"Disbursed",'Aug-24 CREDIT MIS'!E:E,'Aug Dashboard.'!B175,'Aug-24 CREDIT MIS'!I:I,'Aug Dashboard.'!A175,'Aug-24 CREDIT MIS'!N:N,"Manoj Chauhan")</f>
        <v>0</v>
      </c>
      <c r="J175" s="43">
        <f>SUMIFS('Aug-24 CREDIT MIS'!V:V,'Aug-24 CREDIT MIS'!S:S,"Sanction",'Aug-24 CREDIT MIS'!E:E,'Aug Dashboard.'!B175,'Aug-24 CREDIT MIS'!I:I,'Aug Dashboard.'!A175,'Aug-24 CREDIT MIS'!N:N,"Manoj Chauhan")/100000+SUMIFS('Aug-24 CREDIT MIS'!V:V,'Aug-24 CREDIT MIS'!S:S,"Disbursed",'Aug-24 CREDIT MIS'!E:E,'Aug Dashboard.'!B175,'Aug-24 CREDIT MIS'!I:I,'Aug Dashboard.'!A175,'Aug-24 CREDIT MIS'!N:N,"Manoj Chauhan")/100000</f>
        <v>0</v>
      </c>
      <c r="K175" s="44">
        <f>COUNTIFS('Aug-24 CREDIT MIS'!S:S,"Reject",'Aug-24 CREDIT MIS'!E:E,'Aug Dashboard.'!B175,'Aug-24 CREDIT MIS'!I:I,'Aug Dashboard.'!A175,'Aug-24 CREDIT MIS'!N:N,"Manoj Chauhan")</f>
        <v>1</v>
      </c>
      <c r="L175" s="43">
        <f>SUMIFS('Aug-24 CREDIT MIS'!T:T,'Aug-24 CREDIT MIS'!S:S,"Reject",'Aug-24 CREDIT MIS'!E:E,'Aug Dashboard.'!B175,'Aug-24 CREDIT MIS'!I:I,'Aug Dashboard.'!A175,'Aug-24 CREDIT MIS'!N:N,"Manoj Chauhan")/100000</f>
        <v>5</v>
      </c>
      <c r="M175" s="44">
        <f>COUNTIFS('Aug-24 CREDIT MIS'!S:S,"Recommend",'Aug-24 CREDIT MIS'!E:E,'Aug Dashboard.'!B175,'Aug-24 CREDIT MIS'!I:I,'Aug Dashboard.'!A175,'Aug-24 CREDIT MIS'!N:N,"Manoj Chauhan")</f>
        <v>0</v>
      </c>
      <c r="N175" s="43">
        <f>SUMIFS('Aug-24 CREDIT MIS'!T:T,'Aug-24 CREDIT MIS'!S:S,"Recommend",'Aug-24 CREDIT MIS'!E:E,'Aug Dashboard.'!B175,'Aug-24 CREDIT MIS'!I:I,'Aug Dashboard.'!A175,'Aug-24 CREDIT MIS'!N:N,"Manoj Chauhan")/100000</f>
        <v>0</v>
      </c>
      <c r="O175" s="44">
        <f>COUNTIFS('Aug-24 CREDIT MIS'!S:S,"Query- Sales",'Aug-24 CREDIT MIS'!E:E,'Aug Dashboard.'!B175,'Aug-24 CREDIT MIS'!I:I,'Aug Dashboard.'!A175,'Aug-24 CREDIT MIS'!N:N,"Manoj Chauhan")</f>
        <v>0</v>
      </c>
      <c r="P175" s="43">
        <f>SUMIFS('Aug-24 CREDIT MIS'!T:T,'Aug-24 CREDIT MIS'!S:S,"Query- Sales",'Aug-24 CREDIT MIS'!E:E,'Aug Dashboard.'!B175,'Aug-24 CREDIT MIS'!I:I,'Aug Dashboard.'!A175,'Aug-24 CREDIT MIS'!N:N,"Manoj Chauhan")/100000</f>
        <v>0</v>
      </c>
      <c r="Q175" s="42">
        <f>COUNTIFS('Aug-24 CREDIT MIS'!S:S,"WIP- Credit",'Aug-24 CREDIT MIS'!E:E,'Aug Dashboard.'!B175,'Aug-24 CREDIT MIS'!I:I,'Aug Dashboard.'!A175,'Aug-24 CREDIT MIS'!N:N,"Manoj Chauhan")</f>
        <v>2</v>
      </c>
      <c r="R175" s="42">
        <f>SUMIFS('Aug-24 CREDIT MIS'!T:T,'Aug-24 CREDIT MIS'!S:S,"WIP- Credit",'Aug-24 CREDIT MIS'!E:E,'Aug Dashboard.'!B175,'Aug-24 CREDIT MIS'!I:I,'Aug Dashboard.'!A175,'Aug-24 CREDIT MIS'!N:N,"Manoj Chauhan")/100000</f>
        <v>9</v>
      </c>
      <c r="S175" s="42">
        <f>COUNTIFS('Aug-24 CREDIT MIS'!S:S,"Visit Pending",'Aug-24 CREDIT MIS'!E:E,'Aug Dashboard.'!B175,'Aug-24 CREDIT MIS'!I:I,'Aug Dashboard.'!A175,'Aug-24 CREDIT MIS'!N:N,"Manoj Chauhan")</f>
        <v>0</v>
      </c>
      <c r="T175" s="42">
        <f>SUMIFS('Aug-24 CREDIT MIS'!T:T,'Aug-24 CREDIT MIS'!S:S,"Visit Pending",'Aug-24 CREDIT MIS'!E:E,'Aug Dashboard.'!B175,'Aug-24 CREDIT MIS'!I:I,'Aug Dashboard.'!A175,'Aug-24 CREDIT MIS'!N:N,"Manoj Chauhan")/100000</f>
        <v>0</v>
      </c>
    </row>
    <row r="176" spans="1:20" x14ac:dyDescent="0.25">
      <c r="A176" s="16" t="s">
        <v>155</v>
      </c>
      <c r="B176" s="16" t="s">
        <v>154</v>
      </c>
      <c r="C176" s="42">
        <f>COUNTIFS('Aug-24 CREDIT MIS'!C:C,"&lt;01-08-2024",'Aug-24 CREDIT MIS'!E:E,'Aug Dashboard.'!B176,'Aug-24 CREDIT MIS'!I:I,'Aug Dashboard.'!A176,'Aug-24 CREDIT MIS'!N:N,"Manoj Chauhan")</f>
        <v>0</v>
      </c>
      <c r="D176" s="42">
        <f>SUMIFS('Aug-24 CREDIT MIS'!T:T,'Aug-24 CREDIT MIS'!C:C,"&lt;01-08-2024",'Aug-24 CREDIT MIS'!E:E,'Aug Dashboard.'!B176,'Aug-24 CREDIT MIS'!I:I,'Aug Dashboard.'!A176,'Aug-24 CREDIT MIS'!N:N,"Manoj Chauhan")/100000</f>
        <v>0</v>
      </c>
      <c r="E176" s="42">
        <f>COUNTIFS('Aug-24 CREDIT MIS'!C:C,"&gt;=01-08-2024",'Aug-24 CREDIT MIS'!E:E,'Aug Dashboard.'!B176,'Aug-24 CREDIT MIS'!I:I,'Aug Dashboard.'!A176,'Aug-24 CREDIT MIS'!N:N,"Manoj Chauhan")</f>
        <v>2</v>
      </c>
      <c r="F176" s="43">
        <f>SUMIFS('Aug-24 CREDIT MIS'!T:T,'Aug-24 CREDIT MIS'!C:C,"&gt;=01-08-2024",'Aug-24 CREDIT MIS'!E:E,'Aug Dashboard.'!B176,'Aug-24 CREDIT MIS'!I:I,'Aug Dashboard.'!A176,'Aug-24 CREDIT MIS'!N:N,"Manoj Chauhan")/100000</f>
        <v>14</v>
      </c>
      <c r="G176" s="44">
        <f t="shared" si="56"/>
        <v>2</v>
      </c>
      <c r="H176" s="43">
        <f t="shared" si="57"/>
        <v>14</v>
      </c>
      <c r="I176" s="44">
        <f>COUNTIFS('Aug-24 CREDIT MIS'!S:S,"Sanction",'Aug-24 CREDIT MIS'!E:E,'Aug Dashboard.'!B176,'Aug-24 CREDIT MIS'!I:I,'Aug Dashboard.'!A176,'Aug-24 CREDIT MIS'!N:N,"Manoj Chauhan")+COUNTIFS('Aug-24 CREDIT MIS'!S:S,"Disbursed",'Aug-24 CREDIT MIS'!E:E,'Aug Dashboard.'!B176,'Aug-24 CREDIT MIS'!I:I,'Aug Dashboard.'!A176,'Aug-24 CREDIT MIS'!N:N,"Manoj Chauhan")</f>
        <v>0</v>
      </c>
      <c r="J176" s="43">
        <f>SUMIFS('Aug-24 CREDIT MIS'!V:V,'Aug-24 CREDIT MIS'!S:S,"Sanction",'Aug-24 CREDIT MIS'!E:E,'Aug Dashboard.'!B176,'Aug-24 CREDIT MIS'!I:I,'Aug Dashboard.'!A176,'Aug-24 CREDIT MIS'!N:N,"Manoj Chauhan")/100000+SUMIFS('Aug-24 CREDIT MIS'!V:V,'Aug-24 CREDIT MIS'!S:S,"Disbursed",'Aug-24 CREDIT MIS'!E:E,'Aug Dashboard.'!B176,'Aug-24 CREDIT MIS'!I:I,'Aug Dashboard.'!A176,'Aug-24 CREDIT MIS'!N:N,"Manoj Chauhan")/100000</f>
        <v>0</v>
      </c>
      <c r="K176" s="44">
        <f>COUNTIFS('Aug-24 CREDIT MIS'!S:S,"Reject",'Aug-24 CREDIT MIS'!E:E,'Aug Dashboard.'!B176,'Aug-24 CREDIT MIS'!I:I,'Aug Dashboard.'!A176,'Aug-24 CREDIT MIS'!N:N,"Manoj Chauhan")</f>
        <v>0</v>
      </c>
      <c r="L176" s="43">
        <f>SUMIFS('Aug-24 CREDIT MIS'!T:T,'Aug-24 CREDIT MIS'!S:S,"Reject",'Aug-24 CREDIT MIS'!E:E,'Aug Dashboard.'!B176,'Aug-24 CREDIT MIS'!I:I,'Aug Dashboard.'!A176,'Aug-24 CREDIT MIS'!N:N,"Manoj Chauhan")/100000</f>
        <v>0</v>
      </c>
      <c r="M176" s="44">
        <f>COUNTIFS('Aug-24 CREDIT MIS'!S:S,"Recommend",'Aug-24 CREDIT MIS'!E:E,'Aug Dashboard.'!B176,'Aug-24 CREDIT MIS'!I:I,'Aug Dashboard.'!A176,'Aug-24 CREDIT MIS'!N:N,"Manoj Chauhan")</f>
        <v>0</v>
      </c>
      <c r="N176" s="43">
        <f>SUMIFS('Aug-24 CREDIT MIS'!T:T,'Aug-24 CREDIT MIS'!S:S,"Recommend",'Aug-24 CREDIT MIS'!E:E,'Aug Dashboard.'!B176,'Aug-24 CREDIT MIS'!I:I,'Aug Dashboard.'!A176,'Aug-24 CREDIT MIS'!N:N,"Manoj Chauhan")/100000</f>
        <v>0</v>
      </c>
      <c r="O176" s="44">
        <f>COUNTIFS('Aug-24 CREDIT MIS'!S:S,"Query- Sales",'Aug-24 CREDIT MIS'!E:E,'Aug Dashboard.'!B176,'Aug-24 CREDIT MIS'!I:I,'Aug Dashboard.'!A176,'Aug-24 CREDIT MIS'!N:N,"Manoj Chauhan")</f>
        <v>0</v>
      </c>
      <c r="P176" s="43">
        <f>SUMIFS('Aug-24 CREDIT MIS'!T:T,'Aug-24 CREDIT MIS'!S:S,"Query- Sales",'Aug-24 CREDIT MIS'!E:E,'Aug Dashboard.'!B176,'Aug-24 CREDIT MIS'!I:I,'Aug Dashboard.'!A176,'Aug-24 CREDIT MIS'!N:N,"Manoj Chauhan")/100000</f>
        <v>0</v>
      </c>
      <c r="Q176" s="42">
        <f>COUNTIFS('Aug-24 CREDIT MIS'!S:S,"WIP- Credit",'Aug-24 CREDIT MIS'!E:E,'Aug Dashboard.'!B176,'Aug-24 CREDIT MIS'!I:I,'Aug Dashboard.'!A176,'Aug-24 CREDIT MIS'!N:N,"Manoj Chauhan")</f>
        <v>2</v>
      </c>
      <c r="R176" s="42">
        <f>SUMIFS('Aug-24 CREDIT MIS'!T:T,'Aug-24 CREDIT MIS'!S:S,"WIP- Credit",'Aug-24 CREDIT MIS'!E:E,'Aug Dashboard.'!B176,'Aug-24 CREDIT MIS'!I:I,'Aug Dashboard.'!A176,'Aug-24 CREDIT MIS'!N:N,"Manoj Chauhan")/100000</f>
        <v>14</v>
      </c>
      <c r="S176" s="42">
        <f>COUNTIFS('Aug-24 CREDIT MIS'!S:S,"Visit Pending",'Aug-24 CREDIT MIS'!E:E,'Aug Dashboard.'!B176,'Aug-24 CREDIT MIS'!I:I,'Aug Dashboard.'!A176,'Aug-24 CREDIT MIS'!N:N,"Manoj Chauhan")</f>
        <v>0</v>
      </c>
      <c r="T176" s="42">
        <f>SUMIFS('Aug-24 CREDIT MIS'!T:T,'Aug-24 CREDIT MIS'!S:S,"Visit Pending",'Aug-24 CREDIT MIS'!E:E,'Aug Dashboard.'!B176,'Aug-24 CREDIT MIS'!I:I,'Aug Dashboard.'!A176,'Aug-24 CREDIT MIS'!N:N,"Manoj Chauhan")/100000</f>
        <v>0</v>
      </c>
    </row>
    <row r="177" spans="1:20" x14ac:dyDescent="0.25">
      <c r="A177" s="46" t="s">
        <v>153</v>
      </c>
      <c r="B177" s="45" t="s">
        <v>18</v>
      </c>
      <c r="C177" s="42">
        <f>COUNTIFS('Aug-24 CREDIT MIS'!C:C,"&lt;01-08-2024",'Aug-24 CREDIT MIS'!E:E,'Aug Dashboard.'!B177,'Aug-24 CREDIT MIS'!I:I,'Aug Dashboard.'!A177,'Aug-24 CREDIT MIS'!N:N,"Manoj Chauhan")</f>
        <v>2</v>
      </c>
      <c r="D177" s="42">
        <f>SUMIFS('Aug-24 CREDIT MIS'!T:T,'Aug-24 CREDIT MIS'!C:C,"&lt;01-08-2024",'Aug-24 CREDIT MIS'!E:E,'Aug Dashboard.'!B177,'Aug-24 CREDIT MIS'!I:I,'Aug Dashboard.'!A177,'Aug-24 CREDIT MIS'!N:N,"Manoj Chauhan")/100000</f>
        <v>10</v>
      </c>
      <c r="E177" s="42">
        <f>COUNTIFS('Aug-24 CREDIT MIS'!C:C,"&gt;=01-08-2024",'Aug-24 CREDIT MIS'!E:E,'Aug Dashboard.'!B177,'Aug-24 CREDIT MIS'!I:I,'Aug Dashboard.'!A177,'Aug-24 CREDIT MIS'!N:N,"Manoj Chauhan")</f>
        <v>1</v>
      </c>
      <c r="F177" s="43">
        <f>SUMIFS('Aug-24 CREDIT MIS'!T:T,'Aug-24 CREDIT MIS'!C:C,"&gt;=01-08-2024",'Aug-24 CREDIT MIS'!E:E,'Aug Dashboard.'!B177,'Aug-24 CREDIT MIS'!I:I,'Aug Dashboard.'!A177,'Aug-24 CREDIT MIS'!N:N,"Manoj Chauhan")/100000</f>
        <v>5</v>
      </c>
      <c r="G177" s="44">
        <f t="shared" si="56"/>
        <v>3</v>
      </c>
      <c r="H177" s="43">
        <f t="shared" si="57"/>
        <v>15</v>
      </c>
      <c r="I177" s="44">
        <f>COUNTIFS('Aug-24 CREDIT MIS'!S:S,"Sanction",'Aug-24 CREDIT MIS'!E:E,'Aug Dashboard.'!B177,'Aug-24 CREDIT MIS'!I:I,'Aug Dashboard.'!A177,'Aug-24 CREDIT MIS'!N:N,"Manoj Chauhan")+COUNTIFS('Aug-24 CREDIT MIS'!S:S,"Disbursed",'Aug-24 CREDIT MIS'!E:E,'Aug Dashboard.'!B177,'Aug-24 CREDIT MIS'!I:I,'Aug Dashboard.'!A177,'Aug-24 CREDIT MIS'!N:N,"Manoj Chauhan")</f>
        <v>3</v>
      </c>
      <c r="J177" s="43">
        <f>SUMIFS('Aug-24 CREDIT MIS'!V:V,'Aug-24 CREDIT MIS'!S:S,"Sanction",'Aug-24 CREDIT MIS'!E:E,'Aug Dashboard.'!B177,'Aug-24 CREDIT MIS'!I:I,'Aug Dashboard.'!A177,'Aug-24 CREDIT MIS'!N:N,"Manoj Chauhan")/100000+SUMIFS('Aug-24 CREDIT MIS'!V:V,'Aug-24 CREDIT MIS'!S:S,"Disbursed",'Aug-24 CREDIT MIS'!E:E,'Aug Dashboard.'!B177,'Aug-24 CREDIT MIS'!I:I,'Aug Dashboard.'!A177,'Aug-24 CREDIT MIS'!N:N,"Manoj Chauhan")/100000</f>
        <v>11.5</v>
      </c>
      <c r="K177" s="44">
        <f>COUNTIFS('Aug-24 CREDIT MIS'!S:S,"Reject",'Aug-24 CREDIT MIS'!E:E,'Aug Dashboard.'!B177,'Aug-24 CREDIT MIS'!I:I,'Aug Dashboard.'!A177,'Aug-24 CREDIT MIS'!N:N,"Manoj Chauhan")</f>
        <v>0</v>
      </c>
      <c r="L177" s="43">
        <f>SUMIFS('Aug-24 CREDIT MIS'!T:T,'Aug-24 CREDIT MIS'!S:S,"Reject",'Aug-24 CREDIT MIS'!E:E,'Aug Dashboard.'!B177,'Aug-24 CREDIT MIS'!I:I,'Aug Dashboard.'!A177,'Aug-24 CREDIT MIS'!N:N,"Manoj Chauhan")/100000</f>
        <v>0</v>
      </c>
      <c r="M177" s="44">
        <f>COUNTIFS('Aug-24 CREDIT MIS'!S:S,"Recommend",'Aug-24 CREDIT MIS'!E:E,'Aug Dashboard.'!B177,'Aug-24 CREDIT MIS'!I:I,'Aug Dashboard.'!A177,'Aug-24 CREDIT MIS'!N:N,"Manoj Chauhan")</f>
        <v>0</v>
      </c>
      <c r="N177" s="43">
        <f>SUMIFS('Aug-24 CREDIT MIS'!T:T,'Aug-24 CREDIT MIS'!S:S,"Recommend",'Aug-24 CREDIT MIS'!E:E,'Aug Dashboard.'!B177,'Aug-24 CREDIT MIS'!I:I,'Aug Dashboard.'!A177,'Aug-24 CREDIT MIS'!N:N,"Manoj Chauhan")/100000</f>
        <v>0</v>
      </c>
      <c r="O177" s="44">
        <f>COUNTIFS('Aug-24 CREDIT MIS'!S:S,"Query- Sales",'Aug-24 CREDIT MIS'!E:E,'Aug Dashboard.'!B177,'Aug-24 CREDIT MIS'!I:I,'Aug Dashboard.'!A177,'Aug-24 CREDIT MIS'!N:N,"Manoj Chauhan")</f>
        <v>0</v>
      </c>
      <c r="P177" s="43">
        <f>SUMIFS('Aug-24 CREDIT MIS'!T:T,'Aug-24 CREDIT MIS'!S:S,"Query- Sales",'Aug-24 CREDIT MIS'!E:E,'Aug Dashboard.'!B177,'Aug-24 CREDIT MIS'!I:I,'Aug Dashboard.'!A177,'Aug-24 CREDIT MIS'!N:N,"Manoj Chauhan")/100000</f>
        <v>0</v>
      </c>
      <c r="Q177" s="42">
        <f>COUNTIFS('Aug-24 CREDIT MIS'!S:S,"WIP- Credit",'Aug-24 CREDIT MIS'!E:E,'Aug Dashboard.'!B177,'Aug-24 CREDIT MIS'!I:I,'Aug Dashboard.'!A177,'Aug-24 CREDIT MIS'!N:N,"Manoj Chauhan")</f>
        <v>0</v>
      </c>
      <c r="R177" s="42">
        <f>SUMIFS('Aug-24 CREDIT MIS'!T:T,'Aug-24 CREDIT MIS'!S:S,"WIP- Credit",'Aug-24 CREDIT MIS'!E:E,'Aug Dashboard.'!B177,'Aug-24 CREDIT MIS'!I:I,'Aug Dashboard.'!A177,'Aug-24 CREDIT MIS'!N:N,"Manoj Chauhan")/100000</f>
        <v>0</v>
      </c>
      <c r="S177" s="42">
        <f>COUNTIFS('Aug-24 CREDIT MIS'!S:S,"Visit Pending",'Aug-24 CREDIT MIS'!E:E,'Aug Dashboard.'!B177,'Aug-24 CREDIT MIS'!I:I,'Aug Dashboard.'!A177,'Aug-24 CREDIT MIS'!N:N,"Manoj Chauhan")</f>
        <v>0</v>
      </c>
      <c r="T177" s="42">
        <f>SUMIFS('Aug-24 CREDIT MIS'!T:T,'Aug-24 CREDIT MIS'!S:S,"Visit Pending",'Aug-24 CREDIT MIS'!E:E,'Aug Dashboard.'!B177,'Aug-24 CREDIT MIS'!I:I,'Aug Dashboard.'!A177,'Aug-24 CREDIT MIS'!N:N,"Manoj Chauhan")/100000</f>
        <v>0</v>
      </c>
    </row>
    <row r="178" spans="1:20" x14ac:dyDescent="0.25">
      <c r="A178" s="164" t="s">
        <v>152</v>
      </c>
      <c r="B178" s="165"/>
      <c r="C178" s="39">
        <f t="shared" ref="C178:T178" si="62">SUM(C164:C177)</f>
        <v>6</v>
      </c>
      <c r="D178" s="39">
        <f t="shared" si="62"/>
        <v>37.899990000000003</v>
      </c>
      <c r="E178" s="39">
        <f t="shared" si="62"/>
        <v>24</v>
      </c>
      <c r="F178" s="40">
        <f t="shared" si="62"/>
        <v>166.8</v>
      </c>
      <c r="G178" s="41">
        <f t="shared" si="62"/>
        <v>30</v>
      </c>
      <c r="H178" s="40">
        <f t="shared" si="62"/>
        <v>204.69998999999999</v>
      </c>
      <c r="I178" s="41">
        <f t="shared" si="62"/>
        <v>3</v>
      </c>
      <c r="J178" s="40">
        <f t="shared" si="62"/>
        <v>11.5</v>
      </c>
      <c r="K178" s="41">
        <f t="shared" si="62"/>
        <v>5</v>
      </c>
      <c r="L178" s="40">
        <f t="shared" si="62"/>
        <v>34.399990000000003</v>
      </c>
      <c r="M178" s="41">
        <f t="shared" si="62"/>
        <v>2</v>
      </c>
      <c r="N178" s="40">
        <f t="shared" si="62"/>
        <v>11</v>
      </c>
      <c r="O178" s="41">
        <f t="shared" si="62"/>
        <v>1</v>
      </c>
      <c r="P178" s="40">
        <f t="shared" si="62"/>
        <v>6</v>
      </c>
      <c r="Q178" s="39">
        <f t="shared" si="62"/>
        <v>8</v>
      </c>
      <c r="R178" s="39">
        <f t="shared" si="62"/>
        <v>48.5</v>
      </c>
      <c r="S178" s="39">
        <f t="shared" si="62"/>
        <v>11</v>
      </c>
      <c r="T178" s="39">
        <f t="shared" si="62"/>
        <v>89.8</v>
      </c>
    </row>
    <row r="179" spans="1:20" x14ac:dyDescent="0.25">
      <c r="A179" s="170" t="s">
        <v>151</v>
      </c>
      <c r="B179" s="170"/>
      <c r="C179" s="35">
        <f t="shared" ref="C179:T179" si="63">SUM(C178,C163)</f>
        <v>13</v>
      </c>
      <c r="D179" s="35">
        <f t="shared" si="63"/>
        <v>178.79999000000001</v>
      </c>
      <c r="E179" s="35">
        <f t="shared" si="63"/>
        <v>87</v>
      </c>
      <c r="F179" s="37">
        <f t="shared" si="63"/>
        <v>587.09</v>
      </c>
      <c r="G179" s="38">
        <f t="shared" si="63"/>
        <v>100</v>
      </c>
      <c r="H179" s="37">
        <f t="shared" si="63"/>
        <v>765.88999000000001</v>
      </c>
      <c r="I179" s="38">
        <f t="shared" si="63"/>
        <v>8</v>
      </c>
      <c r="J179" s="37">
        <f t="shared" si="63"/>
        <v>32.799999999999997</v>
      </c>
      <c r="K179" s="38">
        <f t="shared" si="63"/>
        <v>20</v>
      </c>
      <c r="L179" s="37">
        <f t="shared" si="63"/>
        <v>145.28998999999999</v>
      </c>
      <c r="M179" s="38">
        <f t="shared" si="63"/>
        <v>9</v>
      </c>
      <c r="N179" s="37">
        <f t="shared" si="63"/>
        <v>68.7</v>
      </c>
      <c r="O179" s="38">
        <f t="shared" si="63"/>
        <v>15</v>
      </c>
      <c r="P179" s="37">
        <f t="shared" si="63"/>
        <v>146</v>
      </c>
      <c r="Q179" s="35">
        <f t="shared" si="63"/>
        <v>21</v>
      </c>
      <c r="R179" s="35">
        <f t="shared" si="63"/>
        <v>129.5</v>
      </c>
      <c r="S179" s="35">
        <f t="shared" si="63"/>
        <v>26</v>
      </c>
      <c r="T179" s="35">
        <f t="shared" si="63"/>
        <v>186.5</v>
      </c>
    </row>
    <row r="180" spans="1:20" x14ac:dyDescent="0.25">
      <c r="A180" s="148"/>
    </row>
    <row r="181" spans="1:20" x14ac:dyDescent="0.25">
      <c r="A181" s="178" t="s">
        <v>518</v>
      </c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</row>
    <row r="182" spans="1:20" ht="15.75" x14ac:dyDescent="0.25">
      <c r="A182" s="175" t="s">
        <v>150</v>
      </c>
      <c r="B182" s="176"/>
      <c r="C182" s="177" t="s">
        <v>149</v>
      </c>
      <c r="D182" s="177"/>
      <c r="E182" s="177" t="s">
        <v>148</v>
      </c>
      <c r="F182" s="177"/>
      <c r="G182" s="177" t="s">
        <v>141</v>
      </c>
      <c r="H182" s="177"/>
      <c r="I182" s="179" t="s">
        <v>147</v>
      </c>
      <c r="J182" s="179"/>
      <c r="K182" s="177" t="s">
        <v>77</v>
      </c>
      <c r="L182" s="177"/>
    </row>
    <row r="183" spans="1:20" x14ac:dyDescent="0.25">
      <c r="A183" s="33" t="s">
        <v>139</v>
      </c>
      <c r="B183" s="33"/>
      <c r="C183" s="32" t="s">
        <v>138</v>
      </c>
      <c r="D183" s="32" t="s">
        <v>136</v>
      </c>
      <c r="E183" s="32" t="s">
        <v>137</v>
      </c>
      <c r="F183" s="32" t="s">
        <v>136</v>
      </c>
      <c r="G183" s="32" t="s">
        <v>137</v>
      </c>
      <c r="H183" s="32" t="s">
        <v>136</v>
      </c>
      <c r="I183" s="32" t="s">
        <v>137</v>
      </c>
      <c r="J183" s="32" t="s">
        <v>136</v>
      </c>
      <c r="K183" s="32" t="s">
        <v>137</v>
      </c>
      <c r="L183" s="32" t="s">
        <v>136</v>
      </c>
    </row>
    <row r="184" spans="1:20" x14ac:dyDescent="0.25">
      <c r="A184" s="25" t="s">
        <v>135</v>
      </c>
      <c r="B184" s="25" t="s">
        <v>124</v>
      </c>
      <c r="C184" s="24">
        <f>COUNTIFS('Aug-24 CREDIT MIS'!C:C,"08-08-2024",'Aug-24 CREDIT MIS'!K:K,'Aug Dashboard.'!A184)</f>
        <v>5</v>
      </c>
      <c r="D184" s="24">
        <f>SUMIFS('Aug-24 CREDIT MIS'!T:T,'Aug-24 CREDIT MIS'!C:C,"08-08-2024",'Aug-24 CREDIT MIS'!K:K,'Aug Dashboard.'!A184)/100000</f>
        <v>30.7</v>
      </c>
      <c r="E184" s="24">
        <f>COUNTIFS('Aug-24 CREDIT MIS'!U:U,"08-08-2024",'Aug-24 CREDIT MIS'!K:K,'Aug Dashboard.'!A184,'Aug-24 CREDIT MIS'!S:S,"Sanction")</f>
        <v>0</v>
      </c>
      <c r="F184" s="24">
        <f>SUMIFS('Aug-24 CREDIT MIS'!V:V,'Aug-24 CREDIT MIS'!U:U,"08-08-2024",'Aug-24 CREDIT MIS'!K:K,'Aug Dashboard.'!A184,'Aug-24 CREDIT MIS'!S:S,"Sanction")/100000</f>
        <v>0</v>
      </c>
      <c r="G184" s="24">
        <f>COUNTIFS('Aug-24 CREDIT MIS'!U:U,"08-08-2024",'Aug-24 CREDIT MIS'!K:K,'Aug Dashboard.'!A184,'Aug-24 CREDIT MIS'!S:S,"Reject")</f>
        <v>0</v>
      </c>
      <c r="H184" s="24">
        <f>SUMIFS('Aug-24 CREDIT MIS'!T:T,'Aug-24 CREDIT MIS'!U:U,"08-08-2024",'Aug-24 CREDIT MIS'!K:K,'Aug Dashboard.'!A184,'Aug-24 CREDIT MIS'!S:S,"Reject")/100000</f>
        <v>0</v>
      </c>
      <c r="I184" s="24">
        <f t="shared" ref="I184:I195" si="64">E184+G184</f>
        <v>0</v>
      </c>
      <c r="J184" s="24">
        <f t="shared" ref="J184:J195" si="65">H184+F184</f>
        <v>0</v>
      </c>
      <c r="K184" s="27">
        <f>COUNTIFS('Aug-24 CREDIT MIS'!AE:AE,"08-08-2024",'Aug-24 CREDIT MIS'!K:K,'Aug Dashboard.'!A184,'Aug-24 CREDIT MIS'!S:S,"Disbursed")</f>
        <v>0</v>
      </c>
      <c r="L184" s="27">
        <f>SUMIFS('Aug-24 CREDIT MIS'!V:V,'Aug-24 CREDIT MIS'!AE:AE,"08-08-2024",'Aug-24 CREDIT MIS'!K:K,'Aug Dashboard.'!A184,'Aug-24 CREDIT MIS'!S:S,"Disbursed")/100000</f>
        <v>0</v>
      </c>
    </row>
    <row r="185" spans="1:20" x14ac:dyDescent="0.25">
      <c r="A185" s="25" t="s">
        <v>133</v>
      </c>
      <c r="B185" s="25" t="s">
        <v>124</v>
      </c>
      <c r="C185" s="24">
        <f>COUNTIFS('Aug-24 CREDIT MIS'!C:C,"08-08-2024",'Aug-24 CREDIT MIS'!K:K,'Aug Dashboard.'!A185)</f>
        <v>2</v>
      </c>
      <c r="D185" s="24">
        <f>SUMIFS('Aug-24 CREDIT MIS'!T:T,'Aug-24 CREDIT MIS'!C:C,"08-08-2024",'Aug-24 CREDIT MIS'!K:K,'Aug Dashboard.'!A185)/100000</f>
        <v>16</v>
      </c>
      <c r="E185" s="24">
        <f>COUNTIFS('Aug-24 CREDIT MIS'!U:U,"08-08-2024",'Aug-24 CREDIT MIS'!K:K,'Aug Dashboard.'!A185,'Aug-24 CREDIT MIS'!S:S,"Sanction")</f>
        <v>0</v>
      </c>
      <c r="F185" s="24">
        <f>SUMIFS('Aug-24 CREDIT MIS'!V:V,'Aug-24 CREDIT MIS'!U:U,"08-08-2024",'Aug-24 CREDIT MIS'!K:K,'Aug Dashboard.'!A185,'Aug-24 CREDIT MIS'!S:S,"Sanction")/100000</f>
        <v>0</v>
      </c>
      <c r="G185" s="24">
        <f>COUNTIFS('Aug-24 CREDIT MIS'!U:U,"08-08-2024",'Aug-24 CREDIT MIS'!K:K,'Aug Dashboard.'!A185,'Aug-24 CREDIT MIS'!S:S,"Reject")</f>
        <v>0</v>
      </c>
      <c r="H185" s="24">
        <f>SUMIFS('Aug-24 CREDIT MIS'!T:T,'Aug-24 CREDIT MIS'!U:U,"08-08-2024",'Aug-24 CREDIT MIS'!K:K,'Aug Dashboard.'!A185,'Aug-24 CREDIT MIS'!S:S,"Reject")/100000</f>
        <v>0</v>
      </c>
      <c r="I185" s="24">
        <f t="shared" si="64"/>
        <v>0</v>
      </c>
      <c r="J185" s="24">
        <f t="shared" si="65"/>
        <v>0</v>
      </c>
      <c r="K185" s="27">
        <f>COUNTIFS('Aug-24 CREDIT MIS'!AE:AE,"08-08-2024",'Aug-24 CREDIT MIS'!K:K,'Aug Dashboard.'!A185,'Aug-24 CREDIT MIS'!S:S,"Disbursed")</f>
        <v>0</v>
      </c>
      <c r="L185" s="27">
        <f>SUMIFS('Aug-24 CREDIT MIS'!V:V,'Aug-24 CREDIT MIS'!AE:AE,"08-08-2024",'Aug-24 CREDIT MIS'!K:K,'Aug Dashboard.'!A185,'Aug-24 CREDIT MIS'!S:S,"Disbursed")/100000</f>
        <v>0</v>
      </c>
    </row>
    <row r="186" spans="1:20" x14ac:dyDescent="0.25">
      <c r="A186" s="25" t="s">
        <v>132</v>
      </c>
      <c r="B186" s="25"/>
      <c r="C186" s="24">
        <f>COUNTIFS('Aug-24 CREDIT MIS'!C:C,"08-08-2024",'Aug-24 CREDIT MIS'!K:K,'Aug Dashboard.'!A186)</f>
        <v>0</v>
      </c>
      <c r="D186" s="24">
        <f>SUMIFS('Aug-24 CREDIT MIS'!T:T,'Aug-24 CREDIT MIS'!C:C,"08-08-2024",'Aug-24 CREDIT MIS'!K:K,'Aug Dashboard.'!A186)/100000</f>
        <v>0</v>
      </c>
      <c r="E186" s="24">
        <f>COUNTIFS('Aug-24 CREDIT MIS'!U:U,"08-08-2024",'Aug-24 CREDIT MIS'!K:K,'Aug Dashboard.'!A186,'Aug-24 CREDIT MIS'!S:S,"Sanction")</f>
        <v>0</v>
      </c>
      <c r="F186" s="24">
        <f>SUMIFS('Aug-24 CREDIT MIS'!V:V,'Aug-24 CREDIT MIS'!U:U,"08-08-2024",'Aug-24 CREDIT MIS'!K:K,'Aug Dashboard.'!A186,'Aug-24 CREDIT MIS'!S:S,"Sanction")/100000</f>
        <v>0</v>
      </c>
      <c r="G186" s="24">
        <f>COUNTIFS('Aug-24 CREDIT MIS'!U:U,"08-08-2024",'Aug-24 CREDIT MIS'!K:K,'Aug Dashboard.'!A186,'Aug-24 CREDIT MIS'!S:S,"Reject")</f>
        <v>0</v>
      </c>
      <c r="H186" s="24">
        <f>SUMIFS('Aug-24 CREDIT MIS'!T:T,'Aug-24 CREDIT MIS'!U:U,"08-08-2024",'Aug-24 CREDIT MIS'!K:K,'Aug Dashboard.'!A186,'Aug-24 CREDIT MIS'!S:S,"Reject")/100000</f>
        <v>0</v>
      </c>
      <c r="I186" s="24">
        <f t="shared" si="64"/>
        <v>0</v>
      </c>
      <c r="J186" s="24">
        <f t="shared" si="65"/>
        <v>0</v>
      </c>
      <c r="K186" s="27">
        <f>COUNTIFS('Aug-24 CREDIT MIS'!AE:AE,"08-08-2024",'Aug-24 CREDIT MIS'!K:K,'Aug Dashboard.'!A186,'Aug-24 CREDIT MIS'!S:S,"Disbursed")</f>
        <v>0</v>
      </c>
      <c r="L186" s="27">
        <f>SUMIFS('Aug-24 CREDIT MIS'!V:V,'Aug-24 CREDIT MIS'!AE:AE,"08-08-2024",'Aug-24 CREDIT MIS'!K:K,'Aug Dashboard.'!A186,'Aug-24 CREDIT MIS'!S:S,"Disbursed")/100000</f>
        <v>0</v>
      </c>
    </row>
    <row r="187" spans="1:20" x14ac:dyDescent="0.25">
      <c r="A187" s="25" t="s">
        <v>131</v>
      </c>
      <c r="B187" s="25" t="s">
        <v>124</v>
      </c>
      <c r="C187" s="24">
        <f>COUNTIFS('Aug-24 CREDIT MIS'!C:C,"08-08-2024",'Aug-24 CREDIT MIS'!K:K,'Aug Dashboard.'!A187)</f>
        <v>3</v>
      </c>
      <c r="D187" s="24">
        <f>SUMIFS('Aug-24 CREDIT MIS'!T:T,'Aug-24 CREDIT MIS'!C:C,"08-08-2024",'Aug-24 CREDIT MIS'!K:K,'Aug Dashboard.'!A187)/100000</f>
        <v>19</v>
      </c>
      <c r="E187" s="24">
        <f>COUNTIFS('Aug-24 CREDIT MIS'!U:U,"08-08-2024",'Aug-24 CREDIT MIS'!K:K,'Aug Dashboard.'!A187,'Aug-24 CREDIT MIS'!S:S,"Sanction")</f>
        <v>0</v>
      </c>
      <c r="F187" s="24">
        <f>SUMIFS('Aug-24 CREDIT MIS'!V:V,'Aug-24 CREDIT MIS'!U:U,"08-08-2024",'Aug-24 CREDIT MIS'!K:K,'Aug Dashboard.'!A187,'Aug-24 CREDIT MIS'!S:S,"Sanction")/100000</f>
        <v>0</v>
      </c>
      <c r="G187" s="24">
        <f>COUNTIFS('Aug-24 CREDIT MIS'!U:U,"08-08-2024",'Aug-24 CREDIT MIS'!K:K,'Aug Dashboard.'!A187,'Aug-24 CREDIT MIS'!S:S,"Reject")</f>
        <v>0</v>
      </c>
      <c r="H187" s="24">
        <f>SUMIFS('Aug-24 CREDIT MIS'!T:T,'Aug-24 CREDIT MIS'!U:U,"08-08-2024",'Aug-24 CREDIT MIS'!K:K,'Aug Dashboard.'!A187,'Aug-24 CREDIT MIS'!S:S,"Reject")/100000</f>
        <v>0</v>
      </c>
      <c r="I187" s="24">
        <f t="shared" si="64"/>
        <v>0</v>
      </c>
      <c r="J187" s="24">
        <f t="shared" si="65"/>
        <v>0</v>
      </c>
      <c r="K187" s="27">
        <f>COUNTIFS('Aug-24 CREDIT MIS'!AE:AE,"08-08-2024",'Aug-24 CREDIT MIS'!K:K,'Aug Dashboard.'!A187,'Aug-24 CREDIT MIS'!S:S,"Disbursed")</f>
        <v>0</v>
      </c>
      <c r="L187" s="27">
        <f>SUMIFS('Aug-24 CREDIT MIS'!V:V,'Aug-24 CREDIT MIS'!AE:AE,"08-08-2024",'Aug-24 CREDIT MIS'!K:K,'Aug Dashboard.'!A187,'Aug-24 CREDIT MIS'!S:S,"Disbursed")/100000</f>
        <v>0</v>
      </c>
    </row>
    <row r="188" spans="1:20" x14ac:dyDescent="0.25">
      <c r="A188" s="25" t="s">
        <v>130</v>
      </c>
      <c r="B188" s="25" t="s">
        <v>124</v>
      </c>
      <c r="C188" s="24">
        <f>COUNTIFS('Aug-24 CREDIT MIS'!C:C,"08-08-2024",'Aug-24 CREDIT MIS'!K:K,'Aug Dashboard.'!A188)</f>
        <v>1</v>
      </c>
      <c r="D188" s="24">
        <f>SUMIFS('Aug-24 CREDIT MIS'!T:T,'Aug-24 CREDIT MIS'!C:C,"08-08-2024",'Aug-24 CREDIT MIS'!K:K,'Aug Dashboard.'!A188)/100000</f>
        <v>7</v>
      </c>
      <c r="E188" s="24">
        <f>COUNTIFS('Aug-24 CREDIT MIS'!U:U,"08-08-2024",'Aug-24 CREDIT MIS'!K:K,'Aug Dashboard.'!A188,'Aug-24 CREDIT MIS'!S:S,"Sanction")</f>
        <v>0</v>
      </c>
      <c r="F188" s="24">
        <f>SUMIFS('Aug-24 CREDIT MIS'!V:V,'Aug-24 CREDIT MIS'!U:U,"08-08-2024",'Aug-24 CREDIT MIS'!K:K,'Aug Dashboard.'!A188,'Aug-24 CREDIT MIS'!S:S,"Sanction")/100000</f>
        <v>0</v>
      </c>
      <c r="G188" s="24">
        <f>COUNTIFS('Aug-24 CREDIT MIS'!U:U,"08-08-2024",'Aug-24 CREDIT MIS'!K:K,'Aug Dashboard.'!A188,'Aug-24 CREDIT MIS'!S:S,"Reject")</f>
        <v>0</v>
      </c>
      <c r="H188" s="24">
        <f>SUMIFS('Aug-24 CREDIT MIS'!T:T,'Aug-24 CREDIT MIS'!U:U,"08-08-2024",'Aug-24 CREDIT MIS'!K:K,'Aug Dashboard.'!A188,'Aug-24 CREDIT MIS'!S:S,"Reject")/100000</f>
        <v>0</v>
      </c>
      <c r="I188" s="24">
        <f t="shared" si="64"/>
        <v>0</v>
      </c>
      <c r="J188" s="24">
        <f t="shared" si="65"/>
        <v>0</v>
      </c>
      <c r="K188" s="27">
        <f>COUNTIFS('Aug-24 CREDIT MIS'!AE:AE,"08-08-2024",'Aug-24 CREDIT MIS'!K:K,'Aug Dashboard.'!A188,'Aug-24 CREDIT MIS'!S:S,"Disbursed")</f>
        <v>0</v>
      </c>
      <c r="L188" s="27">
        <f>SUMIFS('Aug-24 CREDIT MIS'!V:V,'Aug-24 CREDIT MIS'!AE:AE,"08-08-2024",'Aug-24 CREDIT MIS'!K:K,'Aug Dashboard.'!A188,'Aug-24 CREDIT MIS'!S:S,"Disbursed")/100000</f>
        <v>0</v>
      </c>
    </row>
    <row r="189" spans="1:20" x14ac:dyDescent="0.25">
      <c r="A189" s="25" t="s">
        <v>129</v>
      </c>
      <c r="B189" s="25" t="s">
        <v>124</v>
      </c>
      <c r="C189" s="24">
        <f>COUNTIFS('Aug-24 CREDIT MIS'!C:C,"08-08-2024",'Aug-24 CREDIT MIS'!K:K,'Aug Dashboard.'!A189)</f>
        <v>1</v>
      </c>
      <c r="D189" s="24">
        <f>SUMIFS('Aug-24 CREDIT MIS'!T:T,'Aug-24 CREDIT MIS'!C:C,"08-08-2024",'Aug-24 CREDIT MIS'!K:K,'Aug Dashboard.'!A189)/100000</f>
        <v>7</v>
      </c>
      <c r="E189" s="24">
        <f>COUNTIFS('Aug-24 CREDIT MIS'!U:U,"08-08-2024",'Aug-24 CREDIT MIS'!K:K,'Aug Dashboard.'!A189,'Aug-24 CREDIT MIS'!S:S,"Sanction")</f>
        <v>0</v>
      </c>
      <c r="F189" s="24">
        <f>SUMIFS('Aug-24 CREDIT MIS'!V:V,'Aug-24 CREDIT MIS'!U:U,"08-08-2024",'Aug-24 CREDIT MIS'!K:K,'Aug Dashboard.'!A189,'Aug-24 CREDIT MIS'!S:S,"Sanction")/100000</f>
        <v>0</v>
      </c>
      <c r="G189" s="24">
        <f>COUNTIFS('Aug-24 CREDIT MIS'!U:U,"08-08-2024",'Aug-24 CREDIT MIS'!K:K,'Aug Dashboard.'!A189,'Aug-24 CREDIT MIS'!S:S,"Reject")</f>
        <v>2</v>
      </c>
      <c r="H189" s="36">
        <f>SUMIFS('Aug-24 CREDIT MIS'!T:T,'Aug-24 CREDIT MIS'!U:U,"08-08-2024",'Aug-24 CREDIT MIS'!K:K,'Aug Dashboard.'!A189,'Aug-24 CREDIT MIS'!S:S,"Reject")/100000</f>
        <v>14</v>
      </c>
      <c r="I189" s="36">
        <f t="shared" si="64"/>
        <v>2</v>
      </c>
      <c r="J189" s="36">
        <f t="shared" si="65"/>
        <v>14</v>
      </c>
      <c r="K189" s="27">
        <f>COUNTIFS('Aug-24 CREDIT MIS'!AE:AE,"08-08-2024",'Aug-24 CREDIT MIS'!K:K,'Aug Dashboard.'!A189,'Aug-24 CREDIT MIS'!S:S,"Disbursed")</f>
        <v>0</v>
      </c>
      <c r="L189" s="27">
        <f>SUMIFS('Aug-24 CREDIT MIS'!V:V,'Aug-24 CREDIT MIS'!AE:AE,"08-08-2024",'Aug-24 CREDIT MIS'!K:K,'Aug Dashboard.'!A189,'Aug-24 CREDIT MIS'!S:S,"Disbursed")/100000</f>
        <v>0</v>
      </c>
    </row>
    <row r="190" spans="1:20" x14ac:dyDescent="0.25">
      <c r="A190" s="25" t="s">
        <v>655</v>
      </c>
      <c r="B190" s="25" t="s">
        <v>124</v>
      </c>
      <c r="C190" s="24">
        <f>COUNTIFS('Aug-24 CREDIT MIS'!C:C,"08-08-2024",'Aug-24 CREDIT MIS'!K:K,'Aug Dashboard.'!A190)</f>
        <v>0</v>
      </c>
      <c r="D190" s="24">
        <f>SUMIFS('Aug-24 CREDIT MIS'!T:T,'Aug-24 CREDIT MIS'!C:C,"08-08-2024",'Aug-24 CREDIT MIS'!K:K,'Aug Dashboard.'!A190)/100000</f>
        <v>0</v>
      </c>
      <c r="E190" s="24">
        <f>COUNTIFS('Aug-24 CREDIT MIS'!U:U,"08-08-2024",'Aug-24 CREDIT MIS'!K:K,'Aug Dashboard.'!A190,'Aug-24 CREDIT MIS'!S:S,"Sanction")</f>
        <v>0</v>
      </c>
      <c r="F190" s="24">
        <f>SUMIFS('Aug-24 CREDIT MIS'!V:V,'Aug-24 CREDIT MIS'!U:U,"08-08-2024",'Aug-24 CREDIT MIS'!K:K,'Aug Dashboard.'!A190,'Aug-24 CREDIT MIS'!S:S,"Sanction")/100000</f>
        <v>0</v>
      </c>
      <c r="G190" s="24">
        <f>COUNTIFS('Aug-24 CREDIT MIS'!U:U,"08-08-2024",'Aug-24 CREDIT MIS'!K:K,'Aug Dashboard.'!A190,'Aug-24 CREDIT MIS'!S:S,"Reject")</f>
        <v>1</v>
      </c>
      <c r="H190" s="24">
        <f>SUMIFS('Aug-24 CREDIT MIS'!T:T,'Aug-24 CREDIT MIS'!U:U,"08-08-2024",'Aug-24 CREDIT MIS'!K:K,'Aug Dashboard.'!A190,'Aug-24 CREDIT MIS'!S:S,"Reject")/100000</f>
        <v>3</v>
      </c>
      <c r="I190" s="24">
        <f t="shared" si="64"/>
        <v>1</v>
      </c>
      <c r="J190" s="24">
        <f t="shared" si="65"/>
        <v>3</v>
      </c>
      <c r="K190" s="27">
        <f>COUNTIFS('Aug-24 CREDIT MIS'!AE:AE,"08-08-2024",'Aug-24 CREDIT MIS'!K:K,'Aug Dashboard.'!A190,'Aug-24 CREDIT MIS'!S:S,"Disbursed")</f>
        <v>0</v>
      </c>
      <c r="L190" s="27">
        <f>SUMIFS('Aug-24 CREDIT MIS'!V:V,'Aug-24 CREDIT MIS'!AE:AE,"08-08-2024",'Aug-24 CREDIT MIS'!K:K,'Aug Dashboard.'!A190,'Aug-24 CREDIT MIS'!S:S,"Disbursed")/100000</f>
        <v>0</v>
      </c>
    </row>
    <row r="191" spans="1:20" x14ac:dyDescent="0.25">
      <c r="A191" s="25" t="s">
        <v>128</v>
      </c>
      <c r="B191" s="25" t="s">
        <v>124</v>
      </c>
      <c r="C191" s="24">
        <f>COUNTIFS('Aug-24 CREDIT MIS'!C:C,"08-08-2024",'Aug-24 CREDIT MIS'!K:K,'Aug Dashboard.'!A191)</f>
        <v>1</v>
      </c>
      <c r="D191" s="24">
        <f>SUMIFS('Aug-24 CREDIT MIS'!T:T,'Aug-24 CREDIT MIS'!C:C,"08-08-2024",'Aug-24 CREDIT MIS'!K:K,'Aug Dashboard.'!A191)/100000</f>
        <v>9.9</v>
      </c>
      <c r="E191" s="24">
        <f>COUNTIFS('Aug-24 CREDIT MIS'!U:U,"08-08-2024",'Aug-24 CREDIT MIS'!K:K,'Aug Dashboard.'!A191,'Aug-24 CREDIT MIS'!S:S,"Sanction")</f>
        <v>2</v>
      </c>
      <c r="F191" s="24">
        <f>SUMIFS('Aug-24 CREDIT MIS'!V:V,'Aug-24 CREDIT MIS'!U:U,"08-08-2024",'Aug-24 CREDIT MIS'!K:K,'Aug Dashboard.'!A191,'Aug-24 CREDIT MIS'!S:S,"Sanction")/100000</f>
        <v>6.5</v>
      </c>
      <c r="G191" s="24">
        <f>COUNTIFS('Aug-24 CREDIT MIS'!U:U,"08-08-2024",'Aug-24 CREDIT MIS'!K:K,'Aug Dashboard.'!A191,'Aug-24 CREDIT MIS'!S:S,"Reject")</f>
        <v>0</v>
      </c>
      <c r="H191" s="24">
        <f>SUMIFS('Aug-24 CREDIT MIS'!T:T,'Aug-24 CREDIT MIS'!U:U,"08-08-2024",'Aug-24 CREDIT MIS'!K:K,'Aug Dashboard.'!A191,'Aug-24 CREDIT MIS'!S:S,"Reject")/100000</f>
        <v>0</v>
      </c>
      <c r="I191" s="24">
        <f t="shared" si="64"/>
        <v>2</v>
      </c>
      <c r="J191" s="24">
        <f t="shared" si="65"/>
        <v>6.5</v>
      </c>
      <c r="K191" s="27">
        <f>COUNTIFS('Aug-24 CREDIT MIS'!AE:AE,"08-08-2024",'Aug-24 CREDIT MIS'!K:K,'Aug Dashboard.'!A191,'Aug-24 CREDIT MIS'!S:S,"Disbursed")</f>
        <v>0</v>
      </c>
      <c r="L191" s="27">
        <f>SUMIFS('Aug-24 CREDIT MIS'!V:V,'Aug-24 CREDIT MIS'!AE:AE,"08-08-2024",'Aug-24 CREDIT MIS'!K:K,'Aug Dashboard.'!A191,'Aug-24 CREDIT MIS'!S:S,"Disbursed")/100000</f>
        <v>0</v>
      </c>
    </row>
    <row r="192" spans="1:20" x14ac:dyDescent="0.25">
      <c r="A192" s="25" t="s">
        <v>127</v>
      </c>
      <c r="B192" s="25" t="s">
        <v>124</v>
      </c>
      <c r="C192" s="24">
        <f>COUNTIFS('Aug-24 CREDIT MIS'!C:C,"08-08-2024",'Aug-24 CREDIT MIS'!K:K,'Aug Dashboard.'!A192)</f>
        <v>0</v>
      </c>
      <c r="D192" s="24">
        <f>SUMIFS('Aug-24 CREDIT MIS'!T:T,'Aug-24 CREDIT MIS'!C:C,"08-08-2024",'Aug-24 CREDIT MIS'!K:K,'Aug Dashboard.'!A192)/100000</f>
        <v>0</v>
      </c>
      <c r="E192" s="24">
        <f>COUNTIFS('Aug-24 CREDIT MIS'!U:U,"08-08-2024",'Aug-24 CREDIT MIS'!K:K,'Aug Dashboard.'!A192,'Aug-24 CREDIT MIS'!S:S,"Sanction")</f>
        <v>0</v>
      </c>
      <c r="F192" s="24">
        <f>SUMIFS('Aug-24 CREDIT MIS'!V:V,'Aug-24 CREDIT MIS'!U:U,"08-08-2024",'Aug-24 CREDIT MIS'!K:K,'Aug Dashboard.'!A192,'Aug-24 CREDIT MIS'!S:S,"Sanction")/100000</f>
        <v>0</v>
      </c>
      <c r="G192" s="24">
        <f>COUNTIFS('Aug-24 CREDIT MIS'!U:U,"08-08-2024",'Aug-24 CREDIT MIS'!K:K,'Aug Dashboard.'!A192,'Aug-24 CREDIT MIS'!S:S,"Reject")</f>
        <v>2</v>
      </c>
      <c r="H192" s="24">
        <f>SUMIFS('Aug-24 CREDIT MIS'!T:T,'Aug-24 CREDIT MIS'!U:U,"08-08-2024",'Aug-24 CREDIT MIS'!K:K,'Aug Dashboard.'!A192,'Aug-24 CREDIT MIS'!S:S,"Reject")/100000</f>
        <v>15.99</v>
      </c>
      <c r="I192" s="24">
        <f t="shared" si="64"/>
        <v>2</v>
      </c>
      <c r="J192" s="24">
        <f t="shared" si="65"/>
        <v>15.99</v>
      </c>
      <c r="K192" s="27">
        <f>COUNTIFS('Aug-24 CREDIT MIS'!AE:AE,"08-08-2024",'Aug-24 CREDIT MIS'!K:K,'Aug Dashboard.'!A192,'Aug-24 CREDIT MIS'!S:S,"Disbursed")</f>
        <v>0</v>
      </c>
      <c r="L192" s="27">
        <f>SUMIFS('Aug-24 CREDIT MIS'!V:V,'Aug-24 CREDIT MIS'!AE:AE,"08-08-2024",'Aug-24 CREDIT MIS'!K:K,'Aug Dashboard.'!A192,'Aug-24 CREDIT MIS'!S:S,"Disbursed")/100000</f>
        <v>0</v>
      </c>
    </row>
    <row r="193" spans="1:20" x14ac:dyDescent="0.25">
      <c r="A193" s="25" t="s">
        <v>482</v>
      </c>
      <c r="B193" s="25" t="s">
        <v>124</v>
      </c>
      <c r="C193" s="24">
        <f>COUNTIFS('Aug-24 CREDIT MIS'!C:C,"08-08-2024",'Aug-24 CREDIT MIS'!K:K,'Aug Dashboard.'!A193)</f>
        <v>0</v>
      </c>
      <c r="D193" s="24">
        <f>SUMIFS('Aug-24 CREDIT MIS'!T:T,'Aug-24 CREDIT MIS'!C:C,"08-08-2024",'Aug-24 CREDIT MIS'!K:K,'Aug Dashboard.'!A193)/100000</f>
        <v>0</v>
      </c>
      <c r="E193" s="24">
        <f>COUNTIFS('Aug-24 CREDIT MIS'!U:U,"08-08-2024",'Aug-24 CREDIT MIS'!K:K,'Aug Dashboard.'!A193,'Aug-24 CREDIT MIS'!S:S,"Sanction")</f>
        <v>0</v>
      </c>
      <c r="F193" s="24">
        <f>SUMIFS('Aug-24 CREDIT MIS'!V:V,'Aug-24 CREDIT MIS'!U:U,"08-08-2024",'Aug-24 CREDIT MIS'!K:K,'Aug Dashboard.'!A193,'Aug-24 CREDIT MIS'!S:S,"Sanction")/100000</f>
        <v>0</v>
      </c>
      <c r="G193" s="24">
        <f>COUNTIFS('Aug-24 CREDIT MIS'!U:U,"08-08-2024",'Aug-24 CREDIT MIS'!K:K,'Aug Dashboard.'!A193,'Aug-24 CREDIT MIS'!S:S,"Reject")</f>
        <v>0</v>
      </c>
      <c r="H193" s="24">
        <f>SUMIFS('Aug-24 CREDIT MIS'!T:T,'Aug-24 CREDIT MIS'!U:U,"08-08-2024",'Aug-24 CREDIT MIS'!K:K,'Aug Dashboard.'!A193,'Aug-24 CREDIT MIS'!S:S,"Reject")/100000</f>
        <v>0</v>
      </c>
      <c r="I193" s="24">
        <f t="shared" si="64"/>
        <v>0</v>
      </c>
      <c r="J193" s="24">
        <f t="shared" si="65"/>
        <v>0</v>
      </c>
      <c r="K193" s="27">
        <f>COUNTIFS('Aug-24 CREDIT MIS'!AE:AE,"08-08-2024",'Aug-24 CREDIT MIS'!K:K,'Aug Dashboard.'!A193,'Aug-24 CREDIT MIS'!S:S,"Disbursed")</f>
        <v>0</v>
      </c>
      <c r="L193" s="27">
        <f>SUMIFS('Aug-24 CREDIT MIS'!V:V,'Aug-24 CREDIT MIS'!AE:AE,"08-08-2024",'Aug-24 CREDIT MIS'!K:K,'Aug Dashboard.'!A193,'Aug-24 CREDIT MIS'!S:S,"Disbursed")/100000</f>
        <v>0</v>
      </c>
    </row>
    <row r="194" spans="1:20" x14ac:dyDescent="0.25">
      <c r="A194" s="25" t="s">
        <v>126</v>
      </c>
      <c r="B194" s="25" t="s">
        <v>124</v>
      </c>
      <c r="C194" s="24">
        <f>COUNTIFS('Aug-24 CREDIT MIS'!C:C,"08-08-2024",'Aug-24 CREDIT MIS'!K:K,'Aug Dashboard.'!A194)</f>
        <v>4</v>
      </c>
      <c r="D194" s="24">
        <f>SUMIFS('Aug-24 CREDIT MIS'!T:T,'Aug-24 CREDIT MIS'!C:C,"08-08-2024",'Aug-24 CREDIT MIS'!K:K,'Aug Dashboard.'!A194)/100000</f>
        <v>34.9</v>
      </c>
      <c r="E194" s="24">
        <f>COUNTIFS('Aug-24 CREDIT MIS'!U:U,"08-08-2024",'Aug-24 CREDIT MIS'!K:K,'Aug Dashboard.'!A194,'Aug-24 CREDIT MIS'!S:S,"Sanction")</f>
        <v>0</v>
      </c>
      <c r="F194" s="24">
        <f>SUMIFS('Aug-24 CREDIT MIS'!V:V,'Aug-24 CREDIT MIS'!U:U,"08-08-2024",'Aug-24 CREDIT MIS'!K:K,'Aug Dashboard.'!A194,'Aug-24 CREDIT MIS'!S:S,"Sanction")/100000</f>
        <v>0</v>
      </c>
      <c r="G194" s="24">
        <f>COUNTIFS('Aug-24 CREDIT MIS'!U:U,"08-08-2024",'Aug-24 CREDIT MIS'!K:K,'Aug Dashboard.'!A194,'Aug-24 CREDIT MIS'!S:S,"Reject")</f>
        <v>0</v>
      </c>
      <c r="H194" s="24">
        <f>SUMIFS('Aug-24 CREDIT MIS'!T:T,'Aug-24 CREDIT MIS'!U:U,"08-08-2024",'Aug-24 CREDIT MIS'!K:K,'Aug Dashboard.'!A194,'Aug-24 CREDIT MIS'!S:S,"Reject")/100000</f>
        <v>0</v>
      </c>
      <c r="I194" s="24">
        <f t="shared" si="64"/>
        <v>0</v>
      </c>
      <c r="J194" s="24">
        <f t="shared" si="65"/>
        <v>0</v>
      </c>
      <c r="K194" s="27">
        <f>COUNTIFS('Aug-24 CREDIT MIS'!AE:AE,"08-08-2024",'Aug-24 CREDIT MIS'!K:K,'Aug Dashboard.'!A194,'Aug-24 CREDIT MIS'!S:S,"Disbursed")</f>
        <v>0</v>
      </c>
      <c r="L194" s="27">
        <f>SUMIFS('Aug-24 CREDIT MIS'!V:V,'Aug-24 CREDIT MIS'!AE:AE,"08-08-2024",'Aug-24 CREDIT MIS'!K:K,'Aug Dashboard.'!A194,'Aug-24 CREDIT MIS'!S:S,"Disbursed")/100000</f>
        <v>0</v>
      </c>
    </row>
    <row r="195" spans="1:20" x14ac:dyDescent="0.25">
      <c r="A195" s="25" t="s">
        <v>125</v>
      </c>
      <c r="B195" s="25" t="s">
        <v>124</v>
      </c>
      <c r="C195" s="24">
        <f>COUNTIFS('Aug-24 CREDIT MIS'!C:C,"08-08-2024",'Aug-24 CREDIT MIS'!K:K,'Aug Dashboard.'!A195)</f>
        <v>2</v>
      </c>
      <c r="D195" s="24">
        <f>SUMIFS('Aug-24 CREDIT MIS'!T:T,'Aug-24 CREDIT MIS'!C:C,"08-08-2024",'Aug-24 CREDIT MIS'!K:K,'Aug Dashboard.'!A195)/100000</f>
        <v>8</v>
      </c>
      <c r="E195" s="24">
        <f>COUNTIFS('Aug-24 CREDIT MIS'!U:U,"08-08-2024",'Aug-24 CREDIT MIS'!K:K,'Aug Dashboard.'!A195,'Aug-24 CREDIT MIS'!S:S,"Sanction")</f>
        <v>0</v>
      </c>
      <c r="F195" s="24">
        <f>SUMIFS('Aug-24 CREDIT MIS'!V:V,'Aug-24 CREDIT MIS'!U:U,"08-08-2024",'Aug-24 CREDIT MIS'!K:K,'Aug Dashboard.'!A195,'Aug-24 CREDIT MIS'!S:S,"Sanction")/100000</f>
        <v>0</v>
      </c>
      <c r="G195" s="24">
        <f>COUNTIFS('Aug-24 CREDIT MIS'!U:U,"08-08-2024",'Aug-24 CREDIT MIS'!K:K,'Aug Dashboard.'!A195,'Aug-24 CREDIT MIS'!S:S,"Reject")</f>
        <v>0</v>
      </c>
      <c r="H195" s="24">
        <f>SUMIFS('Aug-24 CREDIT MIS'!T:T,'Aug-24 CREDIT MIS'!U:U,"08-08-2024",'Aug-24 CREDIT MIS'!K:K,'Aug Dashboard.'!A195,'Aug-24 CREDIT MIS'!S:S,"Reject")/100000</f>
        <v>0</v>
      </c>
      <c r="I195" s="24">
        <f t="shared" si="64"/>
        <v>0</v>
      </c>
      <c r="J195" s="24">
        <f t="shared" si="65"/>
        <v>0</v>
      </c>
      <c r="K195" s="27">
        <f>COUNTIFS('Aug-24 CREDIT MIS'!AE:AE,"08-08-2024",'Aug-24 CREDIT MIS'!K:K,'Aug Dashboard.'!A195,'Aug-24 CREDIT MIS'!S:S,"Disbursed")</f>
        <v>0</v>
      </c>
      <c r="L195" s="27">
        <f>SUMIFS('Aug-24 CREDIT MIS'!V:V,'Aug-24 CREDIT MIS'!AE:AE,"08-08-2024",'Aug-24 CREDIT MIS'!K:K,'Aug Dashboard.'!A195,'Aug-24 CREDIT MIS'!S:S,"Disbursed")/100000</f>
        <v>0</v>
      </c>
    </row>
    <row r="196" spans="1:20" x14ac:dyDescent="0.25">
      <c r="A196" s="35" t="s">
        <v>123</v>
      </c>
      <c r="B196" s="22">
        <f t="shared" ref="B196:L196" si="66">SUM(B184:B195)</f>
        <v>0</v>
      </c>
      <c r="C196" s="22">
        <f t="shared" si="66"/>
        <v>19</v>
      </c>
      <c r="D196" s="22">
        <f t="shared" si="66"/>
        <v>132.5</v>
      </c>
      <c r="E196" s="22">
        <f t="shared" si="66"/>
        <v>2</v>
      </c>
      <c r="F196" s="22">
        <f t="shared" si="66"/>
        <v>6.5</v>
      </c>
      <c r="G196" s="22">
        <f t="shared" si="66"/>
        <v>5</v>
      </c>
      <c r="H196" s="22">
        <f t="shared" si="66"/>
        <v>32.99</v>
      </c>
      <c r="I196" s="22">
        <f t="shared" si="66"/>
        <v>7</v>
      </c>
      <c r="J196" s="22">
        <f t="shared" si="66"/>
        <v>39.49</v>
      </c>
      <c r="K196" s="22">
        <f t="shared" si="66"/>
        <v>0</v>
      </c>
      <c r="L196" s="22">
        <f t="shared" si="66"/>
        <v>0</v>
      </c>
    </row>
    <row r="197" spans="1:20" x14ac:dyDescent="0.25">
      <c r="A197" s="149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</row>
    <row r="198" spans="1:20" x14ac:dyDescent="0.25">
      <c r="A198" s="178" t="s">
        <v>519</v>
      </c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</row>
    <row r="199" spans="1:20" ht="15.75" x14ac:dyDescent="0.25">
      <c r="A199" s="34" t="s">
        <v>146</v>
      </c>
      <c r="B199" s="34"/>
      <c r="C199" s="177" t="s">
        <v>145</v>
      </c>
      <c r="D199" s="177"/>
      <c r="E199" s="177" t="s">
        <v>144</v>
      </c>
      <c r="F199" s="177"/>
      <c r="G199" s="177" t="s">
        <v>143</v>
      </c>
      <c r="H199" s="177"/>
      <c r="I199" s="180" t="s">
        <v>142</v>
      </c>
      <c r="J199" s="181"/>
      <c r="K199" s="177" t="s">
        <v>141</v>
      </c>
      <c r="L199" s="177"/>
      <c r="M199" s="177" t="s">
        <v>140</v>
      </c>
      <c r="N199" s="177"/>
      <c r="O199" s="177" t="s">
        <v>21</v>
      </c>
      <c r="P199" s="177"/>
      <c r="Q199" s="177" t="s">
        <v>7</v>
      </c>
      <c r="R199" s="177"/>
      <c r="S199" s="177" t="s">
        <v>0</v>
      </c>
      <c r="T199" s="177"/>
    </row>
    <row r="200" spans="1:20" x14ac:dyDescent="0.25">
      <c r="A200" s="33" t="s">
        <v>139</v>
      </c>
      <c r="B200" s="33"/>
      <c r="C200" s="32" t="s">
        <v>138</v>
      </c>
      <c r="D200" s="32" t="s">
        <v>136</v>
      </c>
      <c r="E200" s="32" t="s">
        <v>137</v>
      </c>
      <c r="F200" s="32" t="s">
        <v>136</v>
      </c>
      <c r="G200" s="32" t="s">
        <v>137</v>
      </c>
      <c r="H200" s="32" t="s">
        <v>136</v>
      </c>
      <c r="I200" s="32" t="s">
        <v>137</v>
      </c>
      <c r="J200" s="32" t="s">
        <v>136</v>
      </c>
      <c r="K200" s="32" t="s">
        <v>137</v>
      </c>
      <c r="L200" s="32" t="s">
        <v>136</v>
      </c>
      <c r="M200" s="32" t="s">
        <v>137</v>
      </c>
      <c r="N200" s="32" t="s">
        <v>136</v>
      </c>
      <c r="O200" s="32" t="s">
        <v>137</v>
      </c>
      <c r="P200" s="32" t="s">
        <v>136</v>
      </c>
      <c r="Q200" s="32" t="s">
        <v>137</v>
      </c>
      <c r="R200" s="32" t="s">
        <v>136</v>
      </c>
      <c r="S200" s="32" t="s">
        <v>137</v>
      </c>
      <c r="T200" s="32" t="s">
        <v>136</v>
      </c>
    </row>
    <row r="201" spans="1:20" x14ac:dyDescent="0.25">
      <c r="A201" s="31" t="s">
        <v>135</v>
      </c>
      <c r="B201" s="25" t="s">
        <v>124</v>
      </c>
      <c r="C201" s="24">
        <f>COUNTIFS('Aug-24 CREDIT MIS'!C:C,"&lt;01-08-2024",'Aug-24 CREDIT MIS'!K:K,'Aug Dashboard.'!A201)</f>
        <v>0</v>
      </c>
      <c r="D201" s="24">
        <f>SUMIFS('Aug-24 CREDIT MIS'!T:T,'Aug-24 CREDIT MIS'!C:C,"&lt;01-08-2024",'Aug-24 CREDIT MIS'!K:K,'Aug Dashboard.'!A201)/100000</f>
        <v>0</v>
      </c>
      <c r="E201" s="24">
        <f>COUNTIFS('Aug-24 CREDIT MIS'!C:C,"&gt;=01-08-2024",'Aug-24 CREDIT MIS'!K:K,'Aug Dashboard.'!A201)</f>
        <v>7</v>
      </c>
      <c r="F201" s="24">
        <f>SUMIFS('Aug-24 CREDIT MIS'!T:T,'Aug-24 CREDIT MIS'!C:C,"&gt;=01-08-2024",'Aug-24 CREDIT MIS'!K:K,'Aug Dashboard.'!A201)/100000</f>
        <v>47.2</v>
      </c>
      <c r="G201" s="24">
        <f t="shared" ref="G201:G213" si="67">E201+C201</f>
        <v>7</v>
      </c>
      <c r="H201" s="24">
        <f t="shared" ref="H201:H213" si="68">F201+D201</f>
        <v>47.2</v>
      </c>
      <c r="I201" s="24">
        <f>COUNTIFS('Aug-24 CREDIT MIS'!S:S,"Sanction",'Aug-24 CREDIT MIS'!K:K,'Aug Dashboard.'!A201)+COUNTIFS('Aug-24 CREDIT MIS'!S:S,"Disbursed",'Aug-24 CREDIT MIS'!K:K,'Aug Dashboard.'!A201)</f>
        <v>0</v>
      </c>
      <c r="J201" s="24">
        <f>SUMIFS('Aug-24 CREDIT MIS'!V:V,'Aug-24 CREDIT MIS'!S:S,"Sanction",'Aug-24 CREDIT MIS'!K:K,'Aug Dashboard.'!A201)/100000+SUMIFS('Aug-24 CREDIT MIS'!V:V,'Aug-24 CREDIT MIS'!S:S,"Disbursed",'Aug-24 CREDIT MIS'!K:K,'Aug Dashboard.'!A201)/100000</f>
        <v>0</v>
      </c>
      <c r="K201" s="24">
        <f>COUNTIFS('Aug-24 CREDIT MIS'!S:S,"Reject",'Aug-24 CREDIT MIS'!K:K,'Aug Dashboard.'!A201)</f>
        <v>0</v>
      </c>
      <c r="L201" s="24">
        <f>SUMIFS('Aug-24 CREDIT MIS'!T:T,'Aug-24 CREDIT MIS'!S:S,"Reject",'Aug-24 CREDIT MIS'!K:K,'Aug Dashboard.'!A201)/100000</f>
        <v>0</v>
      </c>
      <c r="M201" s="24">
        <f>COUNTIFS('Aug-24 CREDIT MIS'!S:S,"Recommend",'Aug-24 CREDIT MIS'!K:K,'Aug Dashboard.'!A201)</f>
        <v>0</v>
      </c>
      <c r="N201" s="24">
        <f>SUMIFS('Aug-24 CREDIT MIS'!T:T,'Aug-24 CREDIT MIS'!S:S,"Recommend",'Aug-24 CREDIT MIS'!K:K,'Aug Dashboard.'!A201)/100000</f>
        <v>0</v>
      </c>
      <c r="O201" s="24">
        <f>COUNTIFS('Aug-24 CREDIT MIS'!S:S,"Query- Sales",'Aug-24 CREDIT MIS'!K:K,'Aug Dashboard.'!A201)</f>
        <v>0</v>
      </c>
      <c r="P201" s="24">
        <f>SUMIFS('Aug-24 CREDIT MIS'!T:T,'Aug-24 CREDIT MIS'!S:S,"Query- Sales",'Aug-24 CREDIT MIS'!K:K,'Aug Dashboard.'!A201)/100000</f>
        <v>0</v>
      </c>
      <c r="Q201" s="24">
        <f>COUNTIFS('Aug-24 CREDIT MIS'!S:S,"WIP- Credit",'Aug-24 CREDIT MIS'!K:K,'Aug Dashboard.'!A201)</f>
        <v>2</v>
      </c>
      <c r="R201" s="24">
        <f>SUMIFS('Aug-24 CREDIT MIS'!T:T,'Aug-24 CREDIT MIS'!S:S,"WIP- Credit",'Aug-24 CREDIT MIS'!K:K,'Aug Dashboard.'!A201)/100000</f>
        <v>16.5</v>
      </c>
      <c r="S201" s="24">
        <f>COUNTIFS('Aug-24 CREDIT MIS'!S:S,"Visit Pending",'Aug-24 CREDIT MIS'!K:K,'Aug Dashboard.'!A201)</f>
        <v>5</v>
      </c>
      <c r="T201" s="24">
        <f>SUMIFS('Aug-24 CREDIT MIS'!T:T,'Aug-24 CREDIT MIS'!S:S,"Visit Pending",'Aug-24 CREDIT MIS'!K:K,'Aug Dashboard.'!A201)/100000</f>
        <v>30.7</v>
      </c>
    </row>
    <row r="202" spans="1:20" x14ac:dyDescent="0.25">
      <c r="A202" s="31" t="s">
        <v>134</v>
      </c>
      <c r="B202" s="25" t="s">
        <v>124</v>
      </c>
      <c r="C202" s="24">
        <f>COUNTIFS('Aug-24 CREDIT MIS'!C:C,"&lt;01-08-2024",'Aug-24 CREDIT MIS'!K:K,'Aug Dashboard.'!A202)</f>
        <v>1</v>
      </c>
      <c r="D202" s="24">
        <f>SUMIFS('Aug-24 CREDIT MIS'!T:T,'Aug-24 CREDIT MIS'!C:C,"&lt;01-08-2024",'Aug-24 CREDIT MIS'!K:K,'Aug Dashboard.'!A202)/100000</f>
        <v>35</v>
      </c>
      <c r="E202" s="24">
        <f>COUNTIFS('Aug-24 CREDIT MIS'!C:C,"&gt;=01-08-2024",'Aug-24 CREDIT MIS'!K:K,'Aug Dashboard.'!A202)</f>
        <v>0</v>
      </c>
      <c r="F202" s="24">
        <f>SUMIFS('Aug-24 CREDIT MIS'!T:T,'Aug-24 CREDIT MIS'!C:C,"&gt;=01-08-2024",'Aug-24 CREDIT MIS'!K:K,'Aug Dashboard.'!A202)/100000</f>
        <v>0</v>
      </c>
      <c r="G202" s="24">
        <f t="shared" si="67"/>
        <v>1</v>
      </c>
      <c r="H202" s="24">
        <f t="shared" si="68"/>
        <v>35</v>
      </c>
      <c r="I202" s="24">
        <f>COUNTIFS('Aug-24 CREDIT MIS'!S:S,"Sanction",'Aug-24 CREDIT MIS'!K:K,'Aug Dashboard.'!A202)+COUNTIFS('Aug-24 CREDIT MIS'!S:S,"Disbursed",'Aug-24 CREDIT MIS'!K:K,'Aug Dashboard.'!A202)</f>
        <v>0</v>
      </c>
      <c r="J202" s="24">
        <f>SUMIFS('Aug-24 CREDIT MIS'!V:V,'Aug-24 CREDIT MIS'!S:S,"Sanction",'Aug-24 CREDIT MIS'!K:K,'Aug Dashboard.'!A202)/100000+SUMIFS('Aug-24 CREDIT MIS'!V:V,'Aug-24 CREDIT MIS'!S:S,"Disbursed",'Aug-24 CREDIT MIS'!K:K,'Aug Dashboard.'!A202)/100000</f>
        <v>0</v>
      </c>
      <c r="K202" s="24">
        <f>COUNTIFS('Aug-24 CREDIT MIS'!S:S,"Reject",'Aug-24 CREDIT MIS'!K:K,'Aug Dashboard.'!A202)</f>
        <v>0</v>
      </c>
      <c r="L202" s="24">
        <f>SUMIFS('Aug-24 CREDIT MIS'!T:T,'Aug-24 CREDIT MIS'!S:S,"Reject",'Aug-24 CREDIT MIS'!K:K,'Aug Dashboard.'!A202)/100000</f>
        <v>0</v>
      </c>
      <c r="M202" s="24">
        <f>COUNTIFS('Aug-24 CREDIT MIS'!S:S,"Recommend",'Aug-24 CREDIT MIS'!K:K,'Aug Dashboard.'!A202)</f>
        <v>1</v>
      </c>
      <c r="N202" s="24">
        <f>SUMIFS('Aug-24 CREDIT MIS'!T:T,'Aug-24 CREDIT MIS'!S:S,"Recommend",'Aug-24 CREDIT MIS'!K:K,'Aug Dashboard.'!A202)/100000</f>
        <v>35</v>
      </c>
      <c r="O202" s="24">
        <f>COUNTIFS('Aug-24 CREDIT MIS'!S:S,"Query- Sales",'Aug-24 CREDIT MIS'!K:K,'Aug Dashboard.'!A202)</f>
        <v>0</v>
      </c>
      <c r="P202" s="24">
        <f>SUMIFS('Aug-24 CREDIT MIS'!T:T,'Aug-24 CREDIT MIS'!S:S,"Query- Sales",'Aug-24 CREDIT MIS'!K:K,'Aug Dashboard.'!A202)/100000</f>
        <v>0</v>
      </c>
      <c r="Q202" s="24">
        <f>COUNTIFS('Aug-24 CREDIT MIS'!S:S,"WIP- Credit",'Aug-24 CREDIT MIS'!K:K,'Aug Dashboard.'!A202)</f>
        <v>0</v>
      </c>
      <c r="R202" s="24">
        <f>SUMIFS('Aug-24 CREDIT MIS'!T:T,'Aug-24 CREDIT MIS'!S:S,"WIP- Credit",'Aug-24 CREDIT MIS'!K:K,'Aug Dashboard.'!A202)/100000</f>
        <v>0</v>
      </c>
      <c r="S202" s="24">
        <f>COUNTIFS('Aug-24 CREDIT MIS'!S:S,"Visit Pending",'Aug-24 CREDIT MIS'!K:K,'Aug Dashboard.'!A202)</f>
        <v>0</v>
      </c>
      <c r="T202" s="24">
        <f>SUMIFS('Aug-24 CREDIT MIS'!T:T,'Aug-24 CREDIT MIS'!S:S,"Visit Pending",'Aug-24 CREDIT MIS'!K:K,'Aug Dashboard.'!A202)/100000</f>
        <v>0</v>
      </c>
    </row>
    <row r="203" spans="1:20" x14ac:dyDescent="0.25">
      <c r="A203" s="31" t="s">
        <v>133</v>
      </c>
      <c r="B203" s="25" t="s">
        <v>124</v>
      </c>
      <c r="C203" s="24">
        <f>COUNTIFS('Aug-24 CREDIT MIS'!C:C,"&lt;01-08-2024",'Aug-24 CREDIT MIS'!K:K,'Aug Dashboard.'!A203)</f>
        <v>2</v>
      </c>
      <c r="D203" s="24">
        <f>SUMIFS('Aug-24 CREDIT MIS'!T:T,'Aug-24 CREDIT MIS'!C:C,"&lt;01-08-2024",'Aug-24 CREDIT MIS'!K:K,'Aug Dashboard.'!A203)/100000</f>
        <v>59.9</v>
      </c>
      <c r="E203" s="24">
        <f>COUNTIFS('Aug-24 CREDIT MIS'!C:C,"&gt;=01-08-2024",'Aug-24 CREDIT MIS'!K:K,'Aug Dashboard.'!A203)</f>
        <v>4</v>
      </c>
      <c r="F203" s="24">
        <f>SUMIFS('Aug-24 CREDIT MIS'!T:T,'Aug-24 CREDIT MIS'!C:C,"&gt;=01-08-2024",'Aug-24 CREDIT MIS'!K:K,'Aug Dashboard.'!A203)/100000</f>
        <v>30.9</v>
      </c>
      <c r="G203" s="24">
        <f t="shared" si="67"/>
        <v>6</v>
      </c>
      <c r="H203" s="24">
        <f t="shared" si="68"/>
        <v>90.8</v>
      </c>
      <c r="I203" s="24">
        <f>COUNTIFS('Aug-24 CREDIT MIS'!S:S,"Sanction",'Aug-24 CREDIT MIS'!K:K,'Aug Dashboard.'!A203)+COUNTIFS('Aug-24 CREDIT MIS'!S:S,"Disbursed",'Aug-24 CREDIT MIS'!K:K,'Aug Dashboard.'!A203)</f>
        <v>0</v>
      </c>
      <c r="J203" s="24">
        <f>SUMIFS('Aug-24 CREDIT MIS'!V:V,'Aug-24 CREDIT MIS'!S:S,"Sanction",'Aug-24 CREDIT MIS'!K:K,'Aug Dashboard.'!A203)/100000+SUMIFS('Aug-24 CREDIT MIS'!V:V,'Aug-24 CREDIT MIS'!S:S,"Disbursed",'Aug-24 CREDIT MIS'!K:K,'Aug Dashboard.'!A203)/100000</f>
        <v>0</v>
      </c>
      <c r="K203" s="24">
        <f>COUNTIFS('Aug-24 CREDIT MIS'!S:S,"Reject",'Aug-24 CREDIT MIS'!K:K,'Aug Dashboard.'!A203)</f>
        <v>1</v>
      </c>
      <c r="L203" s="24">
        <f>SUMIFS('Aug-24 CREDIT MIS'!T:T,'Aug-24 CREDIT MIS'!S:S,"Reject",'Aug-24 CREDIT MIS'!K:K,'Aug Dashboard.'!A203)/100000</f>
        <v>9.9</v>
      </c>
      <c r="M203" s="24">
        <f>COUNTIFS('Aug-24 CREDIT MIS'!S:S,"Recommend",'Aug-24 CREDIT MIS'!K:K,'Aug Dashboard.'!A203)</f>
        <v>1</v>
      </c>
      <c r="N203" s="24">
        <f>SUMIFS('Aug-24 CREDIT MIS'!T:T,'Aug-24 CREDIT MIS'!S:S,"Recommend",'Aug-24 CREDIT MIS'!K:K,'Aug Dashboard.'!A203)/100000</f>
        <v>9.9</v>
      </c>
      <c r="O203" s="24">
        <f>COUNTIFS('Aug-24 CREDIT MIS'!S:S,"Query- Sales",'Aug-24 CREDIT MIS'!K:K,'Aug Dashboard.'!A203)</f>
        <v>1</v>
      </c>
      <c r="P203" s="24">
        <f>SUMIFS('Aug-24 CREDIT MIS'!T:T,'Aug-24 CREDIT MIS'!S:S,"Query- Sales",'Aug-24 CREDIT MIS'!K:K,'Aug Dashboard.'!A203)/100000</f>
        <v>50</v>
      </c>
      <c r="Q203" s="24">
        <f>COUNTIFS('Aug-24 CREDIT MIS'!S:S,"WIP- Credit",'Aug-24 CREDIT MIS'!K:K,'Aug Dashboard.'!A203)</f>
        <v>1</v>
      </c>
      <c r="R203" s="24">
        <f>SUMIFS('Aug-24 CREDIT MIS'!T:T,'Aug-24 CREDIT MIS'!S:S,"WIP- Credit",'Aug-24 CREDIT MIS'!K:K,'Aug Dashboard.'!A203)/100000</f>
        <v>5</v>
      </c>
      <c r="S203" s="24">
        <f>COUNTIFS('Aug-24 CREDIT MIS'!S:S,"Visit Pending",'Aug-24 CREDIT MIS'!K:K,'Aug Dashboard.'!A203)</f>
        <v>2</v>
      </c>
      <c r="T203" s="24">
        <f>SUMIFS('Aug-24 CREDIT MIS'!T:T,'Aug-24 CREDIT MIS'!S:S,"Visit Pending",'Aug-24 CREDIT MIS'!K:K,'Aug Dashboard.'!A203)/100000</f>
        <v>16</v>
      </c>
    </row>
    <row r="204" spans="1:20" x14ac:dyDescent="0.25">
      <c r="A204" s="31" t="s">
        <v>132</v>
      </c>
      <c r="B204" s="25"/>
      <c r="C204" s="24">
        <f>COUNTIFS('Aug-24 CREDIT MIS'!C:C,"&lt;01-08-2024",'Aug-24 CREDIT MIS'!K:K,'Aug Dashboard.'!A204)</f>
        <v>0</v>
      </c>
      <c r="D204" s="24">
        <f>SUMIFS('Aug-24 CREDIT MIS'!T:T,'Aug-24 CREDIT MIS'!C:C,"&lt;01-08-2024",'Aug-24 CREDIT MIS'!K:K,'Aug Dashboard.'!A204)/100000</f>
        <v>0</v>
      </c>
      <c r="E204" s="24">
        <f>COUNTIFS('Aug-24 CREDIT MIS'!C:C,"&gt;=01-08-2024",'Aug-24 CREDIT MIS'!K:K,'Aug Dashboard.'!A204)</f>
        <v>5</v>
      </c>
      <c r="F204" s="24">
        <f>SUMIFS('Aug-24 CREDIT MIS'!T:T,'Aug-24 CREDIT MIS'!C:C,"&gt;=01-08-2024",'Aug-24 CREDIT MIS'!K:K,'Aug Dashboard.'!A204)/100000</f>
        <v>41.4</v>
      </c>
      <c r="G204" s="24">
        <f t="shared" si="67"/>
        <v>5</v>
      </c>
      <c r="H204" s="24">
        <f t="shared" si="68"/>
        <v>41.4</v>
      </c>
      <c r="I204" s="24">
        <f>COUNTIFS('Aug-24 CREDIT MIS'!S:S,"Sanction",'Aug-24 CREDIT MIS'!K:K,'Aug Dashboard.'!A204)+COUNTIFS('Aug-24 CREDIT MIS'!S:S,"Disbursed",'Aug-24 CREDIT MIS'!K:K,'Aug Dashboard.'!A204)</f>
        <v>0</v>
      </c>
      <c r="J204" s="24">
        <f>SUMIFS('Aug-24 CREDIT MIS'!V:V,'Aug-24 CREDIT MIS'!S:S,"Sanction",'Aug-24 CREDIT MIS'!K:K,'Aug Dashboard.'!A204)/100000+SUMIFS('Aug-24 CREDIT MIS'!V:V,'Aug-24 CREDIT MIS'!S:S,"Disbursed",'Aug-24 CREDIT MIS'!K:K,'Aug Dashboard.'!A204)/100000</f>
        <v>0</v>
      </c>
      <c r="K204" s="24">
        <f>COUNTIFS('Aug-24 CREDIT MIS'!S:S,"Reject",'Aug-24 CREDIT MIS'!K:K,'Aug Dashboard.'!A204)</f>
        <v>1</v>
      </c>
      <c r="L204" s="24">
        <f>SUMIFS('Aug-24 CREDIT MIS'!T:T,'Aug-24 CREDIT MIS'!S:S,"Reject",'Aug-24 CREDIT MIS'!K:K,'Aug Dashboard.'!A204)/100000</f>
        <v>5</v>
      </c>
      <c r="M204" s="24">
        <f>COUNTIFS('Aug-24 CREDIT MIS'!S:S,"Recommend",'Aug-24 CREDIT MIS'!K:K,'Aug Dashboard.'!A204)</f>
        <v>1</v>
      </c>
      <c r="N204" s="24">
        <f>SUMIFS('Aug-24 CREDIT MIS'!T:T,'Aug-24 CREDIT MIS'!S:S,"Recommend",'Aug-24 CREDIT MIS'!K:K,'Aug Dashboard.'!A204)/100000</f>
        <v>9.9</v>
      </c>
      <c r="O204" s="24">
        <f>COUNTIFS('Aug-24 CREDIT MIS'!S:S,"Query- Sales",'Aug-24 CREDIT MIS'!K:K,'Aug Dashboard.'!A204)</f>
        <v>2</v>
      </c>
      <c r="P204" s="24">
        <f>SUMIFS('Aug-24 CREDIT MIS'!T:T,'Aug-24 CREDIT MIS'!S:S,"Query- Sales",'Aug-24 CREDIT MIS'!K:K,'Aug Dashboard.'!A204)/100000</f>
        <v>17</v>
      </c>
      <c r="Q204" s="24">
        <f>COUNTIFS('Aug-24 CREDIT MIS'!S:S,"WIP- Credit",'Aug-24 CREDIT MIS'!K:K,'Aug Dashboard.'!A204)</f>
        <v>1</v>
      </c>
      <c r="R204" s="24">
        <f>SUMIFS('Aug-24 CREDIT MIS'!T:T,'Aug-24 CREDIT MIS'!S:S,"WIP- Credit",'Aug-24 CREDIT MIS'!K:K,'Aug Dashboard.'!A204)/100000</f>
        <v>9.5</v>
      </c>
      <c r="S204" s="24">
        <f>COUNTIFS('Aug-24 CREDIT MIS'!S:S,"Visit Pending",'Aug-24 CREDIT MIS'!K:K,'Aug Dashboard.'!A204)</f>
        <v>0</v>
      </c>
      <c r="T204" s="24">
        <f>SUMIFS('Aug-24 CREDIT MIS'!T:T,'Aug-24 CREDIT MIS'!S:S,"Visit Pending",'Aug-24 CREDIT MIS'!K:K,'Aug Dashboard.'!A204)/100000</f>
        <v>0</v>
      </c>
    </row>
    <row r="205" spans="1:20" x14ac:dyDescent="0.25">
      <c r="A205" s="31" t="s">
        <v>131</v>
      </c>
      <c r="B205" s="25" t="s">
        <v>124</v>
      </c>
      <c r="C205" s="24">
        <f>COUNTIFS('Aug-24 CREDIT MIS'!C:C,"&lt;01-08-2024",'Aug-24 CREDIT MIS'!K:K,'Aug Dashboard.'!A205)</f>
        <v>0</v>
      </c>
      <c r="D205" s="24">
        <f>SUMIFS('Aug-24 CREDIT MIS'!T:T,'Aug-24 CREDIT MIS'!C:C,"&lt;01-08-2024",'Aug-24 CREDIT MIS'!K:K,'Aug Dashboard.'!A205)/100000</f>
        <v>0</v>
      </c>
      <c r="E205" s="24">
        <f>COUNTIFS('Aug-24 CREDIT MIS'!C:C,"&gt;=01-08-2024",'Aug-24 CREDIT MIS'!K:K,'Aug Dashboard.'!A205)</f>
        <v>7</v>
      </c>
      <c r="F205" s="24">
        <f>SUMIFS('Aug-24 CREDIT MIS'!T:T,'Aug-24 CREDIT MIS'!C:C,"&gt;=01-08-2024",'Aug-24 CREDIT MIS'!K:K,'Aug Dashboard.'!A205)/100000</f>
        <v>39.5</v>
      </c>
      <c r="G205" s="24">
        <f t="shared" si="67"/>
        <v>7</v>
      </c>
      <c r="H205" s="24">
        <f t="shared" si="68"/>
        <v>39.5</v>
      </c>
      <c r="I205" s="24">
        <f>COUNTIFS('Aug-24 CREDIT MIS'!S:S,"Sanction",'Aug-24 CREDIT MIS'!K:K,'Aug Dashboard.'!A205)+COUNTIFS('Aug-24 CREDIT MIS'!S:S,"Disbursed",'Aug-24 CREDIT MIS'!K:K,'Aug Dashboard.'!A205)</f>
        <v>0</v>
      </c>
      <c r="J205" s="24">
        <f>SUMIFS('Aug-24 CREDIT MIS'!V:V,'Aug-24 CREDIT MIS'!S:S,"Sanction",'Aug-24 CREDIT MIS'!K:K,'Aug Dashboard.'!A205)/100000+SUMIFS('Aug-24 CREDIT MIS'!V:V,'Aug-24 CREDIT MIS'!S:S,"Disbursed",'Aug-24 CREDIT MIS'!K:K,'Aug Dashboard.'!A205)/100000</f>
        <v>0</v>
      </c>
      <c r="K205" s="24">
        <f>COUNTIFS('Aug-24 CREDIT MIS'!S:S,"Reject",'Aug-24 CREDIT MIS'!K:K,'Aug Dashboard.'!A205)</f>
        <v>1</v>
      </c>
      <c r="L205" s="24">
        <f>SUMIFS('Aug-24 CREDIT MIS'!T:T,'Aug-24 CREDIT MIS'!S:S,"Reject",'Aug-24 CREDIT MIS'!K:K,'Aug Dashboard.'!A205)/100000</f>
        <v>5</v>
      </c>
      <c r="M205" s="24">
        <f>COUNTIFS('Aug-24 CREDIT MIS'!S:S,"Recommend",'Aug-24 CREDIT MIS'!K:K,'Aug Dashboard.'!A205)</f>
        <v>1</v>
      </c>
      <c r="N205" s="24">
        <f>SUMIFS('Aug-24 CREDIT MIS'!T:T,'Aug-24 CREDIT MIS'!S:S,"Recommend",'Aug-24 CREDIT MIS'!K:K,'Aug Dashboard.'!A205)/100000</f>
        <v>5</v>
      </c>
      <c r="O205" s="24">
        <f>COUNTIFS('Aug-24 CREDIT MIS'!S:S,"Query- Sales",'Aug-24 CREDIT MIS'!K:K,'Aug Dashboard.'!A205)</f>
        <v>1</v>
      </c>
      <c r="P205" s="24">
        <f>SUMIFS('Aug-24 CREDIT MIS'!T:T,'Aug-24 CREDIT MIS'!S:S,"Query- Sales",'Aug-24 CREDIT MIS'!K:K,'Aug Dashboard.'!A205)/100000</f>
        <v>6</v>
      </c>
      <c r="Q205" s="24">
        <f>COUNTIFS('Aug-24 CREDIT MIS'!S:S,"WIP- Credit",'Aug-24 CREDIT MIS'!K:K,'Aug Dashboard.'!A205)</f>
        <v>1</v>
      </c>
      <c r="R205" s="24">
        <f>SUMIFS('Aug-24 CREDIT MIS'!T:T,'Aug-24 CREDIT MIS'!S:S,"WIP- Credit",'Aug-24 CREDIT MIS'!K:K,'Aug Dashboard.'!A205)/100000</f>
        <v>4.5</v>
      </c>
      <c r="S205" s="24">
        <f>COUNTIFS('Aug-24 CREDIT MIS'!S:S,"Visit Pending",'Aug-24 CREDIT MIS'!K:K,'Aug Dashboard.'!A205)</f>
        <v>3</v>
      </c>
      <c r="T205" s="24">
        <f>SUMIFS('Aug-24 CREDIT MIS'!T:T,'Aug-24 CREDIT MIS'!S:S,"Visit Pending",'Aug-24 CREDIT MIS'!K:K,'Aug Dashboard.'!A205)/100000</f>
        <v>19</v>
      </c>
    </row>
    <row r="206" spans="1:20" x14ac:dyDescent="0.25">
      <c r="A206" s="31" t="s">
        <v>130</v>
      </c>
      <c r="B206" s="25" t="s">
        <v>124</v>
      </c>
      <c r="C206" s="24">
        <f>COUNTIFS('Aug-24 CREDIT MIS'!C:C,"&lt;01-08-2024",'Aug-24 CREDIT MIS'!K:K,'Aug Dashboard.'!A206)</f>
        <v>1</v>
      </c>
      <c r="D206" s="24">
        <f>SUMIFS('Aug-24 CREDIT MIS'!T:T,'Aug-24 CREDIT MIS'!C:C,"&lt;01-08-2024",'Aug-24 CREDIT MIS'!K:K,'Aug Dashboard.'!A206)/100000</f>
        <v>22</v>
      </c>
      <c r="E206" s="24">
        <f>COUNTIFS('Aug-24 CREDIT MIS'!C:C,"&gt;=01-08-2024",'Aug-24 CREDIT MIS'!K:K,'Aug Dashboard.'!A206)</f>
        <v>11</v>
      </c>
      <c r="F206" s="24">
        <f>SUMIFS('Aug-24 CREDIT MIS'!T:T,'Aug-24 CREDIT MIS'!C:C,"&gt;=01-08-2024",'Aug-24 CREDIT MIS'!K:K,'Aug Dashboard.'!A206)/100000</f>
        <v>82.8</v>
      </c>
      <c r="G206" s="24">
        <f t="shared" si="67"/>
        <v>12</v>
      </c>
      <c r="H206" s="24">
        <f t="shared" si="68"/>
        <v>104.8</v>
      </c>
      <c r="I206" s="24">
        <f>COUNTIFS('Aug-24 CREDIT MIS'!S:S,"Sanction",'Aug-24 CREDIT MIS'!K:K,'Aug Dashboard.'!A206)+COUNTIFS('Aug-24 CREDIT MIS'!S:S,"Disbursed",'Aug-24 CREDIT MIS'!K:K,'Aug Dashboard.'!A206)</f>
        <v>1</v>
      </c>
      <c r="J206" s="24">
        <f>SUMIFS('Aug-24 CREDIT MIS'!V:V,'Aug-24 CREDIT MIS'!S:S,"Sanction",'Aug-24 CREDIT MIS'!K:K,'Aug Dashboard.'!A206)/100000+SUMIFS('Aug-24 CREDIT MIS'!V:V,'Aug-24 CREDIT MIS'!S:S,"Disbursed",'Aug-24 CREDIT MIS'!K:K,'Aug Dashboard.'!A206)/100000</f>
        <v>5</v>
      </c>
      <c r="K206" s="24">
        <f>COUNTIFS('Aug-24 CREDIT MIS'!S:S,"Reject",'Aug-24 CREDIT MIS'!K:K,'Aug Dashboard.'!A206)</f>
        <v>2</v>
      </c>
      <c r="L206" s="24">
        <f>SUMIFS('Aug-24 CREDIT MIS'!T:T,'Aug-24 CREDIT MIS'!S:S,"Reject",'Aug-24 CREDIT MIS'!K:K,'Aug Dashboard.'!A206)/100000</f>
        <v>28</v>
      </c>
      <c r="M206" s="24">
        <f>COUNTIFS('Aug-24 CREDIT MIS'!S:S,"Recommend",'Aug-24 CREDIT MIS'!K:K,'Aug Dashboard.'!A206)</f>
        <v>4</v>
      </c>
      <c r="N206" s="24">
        <f>SUMIFS('Aug-24 CREDIT MIS'!T:T,'Aug-24 CREDIT MIS'!S:S,"Recommend",'Aug-24 CREDIT MIS'!K:K,'Aug Dashboard.'!A206)/100000</f>
        <v>32.9</v>
      </c>
      <c r="O206" s="24">
        <f>COUNTIFS('Aug-24 CREDIT MIS'!S:S,"Query- Sales",'Aug-24 CREDIT MIS'!K:K,'Aug Dashboard.'!A206)</f>
        <v>0</v>
      </c>
      <c r="P206" s="24">
        <f>SUMIFS('Aug-24 CREDIT MIS'!T:T,'Aug-24 CREDIT MIS'!S:S,"Query- Sales",'Aug-24 CREDIT MIS'!K:K,'Aug Dashboard.'!A206)/100000</f>
        <v>0</v>
      </c>
      <c r="Q206" s="24">
        <f>COUNTIFS('Aug-24 CREDIT MIS'!S:S,"WIP- Credit",'Aug-24 CREDIT MIS'!K:K,'Aug Dashboard.'!A206)</f>
        <v>3</v>
      </c>
      <c r="R206" s="24">
        <f>SUMIFS('Aug-24 CREDIT MIS'!T:T,'Aug-24 CREDIT MIS'!S:S,"WIP- Credit",'Aug-24 CREDIT MIS'!K:K,'Aug Dashboard.'!A206)/100000</f>
        <v>18</v>
      </c>
      <c r="S206" s="24">
        <f>COUNTIFS('Aug-24 CREDIT MIS'!S:S,"Visit Pending",'Aug-24 CREDIT MIS'!K:K,'Aug Dashboard.'!A206)</f>
        <v>2</v>
      </c>
      <c r="T206" s="24">
        <f>SUMIFS('Aug-24 CREDIT MIS'!T:T,'Aug-24 CREDIT MIS'!S:S,"Visit Pending",'Aug-24 CREDIT MIS'!K:K,'Aug Dashboard.'!A206)/100000</f>
        <v>16</v>
      </c>
    </row>
    <row r="207" spans="1:20" x14ac:dyDescent="0.25">
      <c r="A207" s="31" t="s">
        <v>129</v>
      </c>
      <c r="B207" s="25"/>
      <c r="C207" s="24">
        <f>COUNTIFS('Aug-24 CREDIT MIS'!C:C,"&lt;01-08-2024",'Aug-24 CREDIT MIS'!K:K,'Aug Dashboard.'!A207)</f>
        <v>2</v>
      </c>
      <c r="D207" s="24">
        <f>SUMIFS('Aug-24 CREDIT MIS'!T:T,'Aug-24 CREDIT MIS'!C:C,"&lt;01-08-2024",'Aug-24 CREDIT MIS'!K:K,'Aug Dashboard.'!A207)/100000</f>
        <v>15</v>
      </c>
      <c r="E207" s="24">
        <f>COUNTIFS('Aug-24 CREDIT MIS'!C:C,"&gt;=01-08-2024",'Aug-24 CREDIT MIS'!K:K,'Aug Dashboard.'!A207)</f>
        <v>8</v>
      </c>
      <c r="F207" s="29">
        <f>SUMIFS('Aug-24 CREDIT MIS'!T:T,'Aug-24 CREDIT MIS'!C:C,"&gt;=01-08-2024",'Aug-24 CREDIT MIS'!K:K,'Aug Dashboard.'!A207)/100000</f>
        <v>53</v>
      </c>
      <c r="G207" s="24">
        <f t="shared" si="67"/>
        <v>10</v>
      </c>
      <c r="H207" s="29">
        <f t="shared" si="68"/>
        <v>68</v>
      </c>
      <c r="I207" s="24">
        <f>COUNTIFS('Aug-24 CREDIT MIS'!S:S,"Sanction",'Aug-24 CREDIT MIS'!K:K,'Aug Dashboard.'!A207)+COUNTIFS('Aug-24 CREDIT MIS'!S:S,"Disbursed",'Aug-24 CREDIT MIS'!K:K,'Aug Dashboard.'!A207)</f>
        <v>2</v>
      </c>
      <c r="J207" s="24">
        <f>SUMIFS('Aug-24 CREDIT MIS'!V:V,'Aug-24 CREDIT MIS'!S:S,"Sanction",'Aug-24 CREDIT MIS'!K:K,'Aug Dashboard.'!A207)/100000+SUMIFS('Aug-24 CREDIT MIS'!V:V,'Aug-24 CREDIT MIS'!S:S,"Disbursed",'Aug-24 CREDIT MIS'!K:K,'Aug Dashboard.'!A207)/100000</f>
        <v>7.8</v>
      </c>
      <c r="K207" s="24">
        <f>COUNTIFS('Aug-24 CREDIT MIS'!S:S,"Reject",'Aug-24 CREDIT MIS'!K:K,'Aug Dashboard.'!A207)</f>
        <v>2</v>
      </c>
      <c r="L207" s="24">
        <f>SUMIFS('Aug-24 CREDIT MIS'!T:T,'Aug-24 CREDIT MIS'!S:S,"Reject",'Aug-24 CREDIT MIS'!K:K,'Aug Dashboard.'!A207)/100000</f>
        <v>14</v>
      </c>
      <c r="M207" s="24">
        <f>COUNTIFS('Aug-24 CREDIT MIS'!S:S,"Recommend",'Aug-24 CREDIT MIS'!K:K,'Aug Dashboard.'!A207)</f>
        <v>0</v>
      </c>
      <c r="N207" s="24">
        <f>SUMIFS('Aug-24 CREDIT MIS'!T:T,'Aug-24 CREDIT MIS'!S:S,"Recommend",'Aug-24 CREDIT MIS'!K:K,'Aug Dashboard.'!A207)/100000</f>
        <v>0</v>
      </c>
      <c r="O207" s="24">
        <f>COUNTIFS('Aug-24 CREDIT MIS'!S:S,"Query- Sales",'Aug-24 CREDIT MIS'!K:K,'Aug Dashboard.'!A207)</f>
        <v>5</v>
      </c>
      <c r="P207" s="24">
        <f>SUMIFS('Aug-24 CREDIT MIS'!T:T,'Aug-24 CREDIT MIS'!S:S,"Query- Sales",'Aug-24 CREDIT MIS'!K:K,'Aug Dashboard.'!A207)/100000</f>
        <v>32</v>
      </c>
      <c r="Q207" s="24">
        <f>COUNTIFS('Aug-24 CREDIT MIS'!S:S,"WIP- Credit",'Aug-24 CREDIT MIS'!K:K,'Aug Dashboard.'!A207)</f>
        <v>0</v>
      </c>
      <c r="R207" s="24">
        <f>SUMIFS('Aug-24 CREDIT MIS'!T:T,'Aug-24 CREDIT MIS'!S:S,"WIP- Credit",'Aug-24 CREDIT MIS'!K:K,'Aug Dashboard.'!A207)/100000</f>
        <v>0</v>
      </c>
      <c r="S207" s="24">
        <f>COUNTIFS('Aug-24 CREDIT MIS'!S:S,"Visit Pending",'Aug-24 CREDIT MIS'!K:K,'Aug Dashboard.'!A207)</f>
        <v>1</v>
      </c>
      <c r="T207" s="24">
        <f>SUMIFS('Aug-24 CREDIT MIS'!T:T,'Aug-24 CREDIT MIS'!S:S,"Visit Pending",'Aug-24 CREDIT MIS'!K:K,'Aug Dashboard.'!A207)/100000</f>
        <v>7</v>
      </c>
    </row>
    <row r="208" spans="1:20" x14ac:dyDescent="0.25">
      <c r="A208" s="31" t="s">
        <v>655</v>
      </c>
      <c r="B208" s="28" t="s">
        <v>124</v>
      </c>
      <c r="C208" s="24">
        <f>COUNTIFS('Aug-24 CREDIT MIS'!C:C,"&lt;01-08-2024",'Aug-24 CREDIT MIS'!K:K,'Aug Dashboard.'!A208)</f>
        <v>0</v>
      </c>
      <c r="D208" s="24">
        <f>SUMIFS('Aug-24 CREDIT MIS'!T:T,'Aug-24 CREDIT MIS'!C:C,"&lt;01-08-2024",'Aug-24 CREDIT MIS'!K:K,'Aug Dashboard.'!A208)/100000</f>
        <v>0</v>
      </c>
      <c r="E208" s="24">
        <f>COUNTIFS('Aug-24 CREDIT MIS'!C:C,"&gt;=01-08-2024",'Aug-24 CREDIT MIS'!K:K,'Aug Dashboard.'!A208)</f>
        <v>1</v>
      </c>
      <c r="F208" s="24">
        <f>SUMIFS('Aug-24 CREDIT MIS'!T:T,'Aug-24 CREDIT MIS'!C:C,"&gt;=01-08-2024",'Aug-24 CREDIT MIS'!K:K,'Aug Dashboard.'!A208)/100000</f>
        <v>3</v>
      </c>
      <c r="G208" s="24">
        <f t="shared" si="67"/>
        <v>1</v>
      </c>
      <c r="H208" s="24">
        <f t="shared" si="68"/>
        <v>3</v>
      </c>
      <c r="I208" s="24">
        <f>COUNTIFS('Aug-24 CREDIT MIS'!S:S,"Sanction",'Aug-24 CREDIT MIS'!K:K,'Aug Dashboard.'!A208)+COUNTIFS('Aug-24 CREDIT MIS'!S:S,"Disbursed",'Aug-24 CREDIT MIS'!K:K,'Aug Dashboard.'!A208)</f>
        <v>0</v>
      </c>
      <c r="J208" s="24">
        <f>SUMIFS('Aug-24 CREDIT MIS'!V:V,'Aug-24 CREDIT MIS'!S:S,"Sanction",'Aug-24 CREDIT MIS'!K:K,'Aug Dashboard.'!A208)/100000+SUMIFS('Aug-24 CREDIT MIS'!V:V,'Aug-24 CREDIT MIS'!S:S,"Disbursed",'Aug-24 CREDIT MIS'!K:K,'Aug Dashboard.'!A208)/100000</f>
        <v>0</v>
      </c>
      <c r="K208" s="24">
        <f>COUNTIFS('Aug-24 CREDIT MIS'!S:S,"Reject",'Aug-24 CREDIT MIS'!K:K,'Aug Dashboard.'!A208)</f>
        <v>1</v>
      </c>
      <c r="L208" s="24">
        <f>SUMIFS('Aug-24 CREDIT MIS'!T:T,'Aug-24 CREDIT MIS'!S:S,"Reject",'Aug-24 CREDIT MIS'!K:K,'Aug Dashboard.'!A208)/100000</f>
        <v>3</v>
      </c>
      <c r="M208" s="24">
        <f>COUNTIFS('Aug-24 CREDIT MIS'!S:S,"Recommend",'Aug-24 CREDIT MIS'!K:K,'Aug Dashboard.'!A208)</f>
        <v>0</v>
      </c>
      <c r="N208" s="24">
        <f>SUMIFS('Aug-24 CREDIT MIS'!T:T,'Aug-24 CREDIT MIS'!S:S,"Recommend",'Aug-24 CREDIT MIS'!K:K,'Aug Dashboard.'!A208)/100000</f>
        <v>0</v>
      </c>
      <c r="O208" s="24">
        <f>COUNTIFS('Aug-24 CREDIT MIS'!S:S,"Query- Sales",'Aug-24 CREDIT MIS'!K:K,'Aug Dashboard.'!A208)</f>
        <v>0</v>
      </c>
      <c r="P208" s="24">
        <f>SUMIFS('Aug-24 CREDIT MIS'!T:T,'Aug-24 CREDIT MIS'!S:S,"Query- Sales",'Aug-24 CREDIT MIS'!K:K,'Aug Dashboard.'!A208)/100000</f>
        <v>0</v>
      </c>
      <c r="Q208" s="24">
        <f>COUNTIFS('Aug-24 CREDIT MIS'!S:S,"WIP- Credit",'Aug-24 CREDIT MIS'!K:K,'Aug Dashboard.'!A208)</f>
        <v>0</v>
      </c>
      <c r="R208" s="24">
        <f>SUMIFS('Aug-24 CREDIT MIS'!T:T,'Aug-24 CREDIT MIS'!S:S,"WIP- Credit",'Aug-24 CREDIT MIS'!K:K,'Aug Dashboard.'!A208)/100000</f>
        <v>0</v>
      </c>
      <c r="S208" s="24">
        <f>COUNTIFS('Aug-24 CREDIT MIS'!S:S,"Visit Pending",'Aug-24 CREDIT MIS'!K:K,'Aug Dashboard.'!A208)</f>
        <v>0</v>
      </c>
      <c r="T208" s="24">
        <f>SUMIFS('Aug-24 CREDIT MIS'!T:T,'Aug-24 CREDIT MIS'!S:S,"Visit Pending",'Aug-24 CREDIT MIS'!K:K,'Aug Dashboard.'!A208)/100000</f>
        <v>0</v>
      </c>
    </row>
    <row r="209" spans="1:20" x14ac:dyDescent="0.25">
      <c r="A209" s="31" t="s">
        <v>128</v>
      </c>
      <c r="B209" s="25" t="s">
        <v>124</v>
      </c>
      <c r="C209" s="24">
        <f>COUNTIFS('Aug-24 CREDIT MIS'!C:C,"&lt;01-08-2024",'Aug-24 CREDIT MIS'!K:K,'Aug Dashboard.'!A209)</f>
        <v>2</v>
      </c>
      <c r="D209" s="24">
        <f>SUMIFS('Aug-24 CREDIT MIS'!T:T,'Aug-24 CREDIT MIS'!C:C,"&lt;01-08-2024",'Aug-24 CREDIT MIS'!K:K,'Aug Dashboard.'!A209)/100000</f>
        <v>10</v>
      </c>
      <c r="E209" s="24">
        <f>COUNTIFS('Aug-24 CREDIT MIS'!C:C,"&gt;=01-08-2024",'Aug-24 CREDIT MIS'!K:K,'Aug Dashboard.'!A209)</f>
        <v>7</v>
      </c>
      <c r="F209" s="24">
        <f>SUMIFS('Aug-24 CREDIT MIS'!T:T,'Aug-24 CREDIT MIS'!C:C,"&gt;=01-08-2024",'Aug-24 CREDIT MIS'!K:K,'Aug Dashboard.'!A209)/100000</f>
        <v>50.9</v>
      </c>
      <c r="G209" s="24">
        <f t="shared" si="67"/>
        <v>9</v>
      </c>
      <c r="H209" s="24">
        <f t="shared" si="68"/>
        <v>60.9</v>
      </c>
      <c r="I209" s="24">
        <f>COUNTIFS('Aug-24 CREDIT MIS'!S:S,"Sanction",'Aug-24 CREDIT MIS'!K:K,'Aug Dashboard.'!A209)+COUNTIFS('Aug-24 CREDIT MIS'!S:S,"Disbursed",'Aug-24 CREDIT MIS'!K:K,'Aug Dashboard.'!A209)</f>
        <v>3</v>
      </c>
      <c r="J209" s="24">
        <f>SUMIFS('Aug-24 CREDIT MIS'!V:V,'Aug-24 CREDIT MIS'!S:S,"Sanction",'Aug-24 CREDIT MIS'!K:K,'Aug Dashboard.'!A209)/100000+SUMIFS('Aug-24 CREDIT MIS'!V:V,'Aug-24 CREDIT MIS'!S:S,"Disbursed",'Aug-24 CREDIT MIS'!K:K,'Aug Dashboard.'!A209)/100000</f>
        <v>11.5</v>
      </c>
      <c r="K209" s="24">
        <f>COUNTIFS('Aug-24 CREDIT MIS'!S:S,"Reject",'Aug-24 CREDIT MIS'!K:K,'Aug Dashboard.'!A209)</f>
        <v>0</v>
      </c>
      <c r="L209" s="24">
        <f>SUMIFS('Aug-24 CREDIT MIS'!T:T,'Aug-24 CREDIT MIS'!S:S,"Reject",'Aug-24 CREDIT MIS'!K:K,'Aug Dashboard.'!A209)/100000</f>
        <v>0</v>
      </c>
      <c r="M209" s="24">
        <f>COUNTIFS('Aug-24 CREDIT MIS'!S:S,"Recommend",'Aug-24 CREDIT MIS'!K:K,'Aug Dashboard.'!A209)</f>
        <v>0</v>
      </c>
      <c r="N209" s="24">
        <f>SUMIFS('Aug-24 CREDIT MIS'!T:T,'Aug-24 CREDIT MIS'!S:S,"Recommend",'Aug-24 CREDIT MIS'!K:K,'Aug Dashboard.'!A209)/100000</f>
        <v>0</v>
      </c>
      <c r="O209" s="24">
        <f>COUNTIFS('Aug-24 CREDIT MIS'!S:S,"Query- Sales",'Aug-24 CREDIT MIS'!K:K,'Aug Dashboard.'!A209)</f>
        <v>1</v>
      </c>
      <c r="P209" s="24">
        <f>SUMIFS('Aug-24 CREDIT MIS'!T:T,'Aug-24 CREDIT MIS'!S:S,"Query- Sales",'Aug-24 CREDIT MIS'!K:K,'Aug Dashboard.'!A209)/100000</f>
        <v>6</v>
      </c>
      <c r="Q209" s="24">
        <f>COUNTIFS('Aug-24 CREDIT MIS'!S:S,"WIP- Credit",'Aug-24 CREDIT MIS'!K:K,'Aug Dashboard.'!A209)</f>
        <v>1</v>
      </c>
      <c r="R209" s="24">
        <f>SUMIFS('Aug-24 CREDIT MIS'!T:T,'Aug-24 CREDIT MIS'!S:S,"WIP- Credit",'Aug-24 CREDIT MIS'!K:K,'Aug Dashboard.'!A209)/100000</f>
        <v>8</v>
      </c>
      <c r="S209" s="24">
        <f>COUNTIFS('Aug-24 CREDIT MIS'!S:S,"Visit Pending",'Aug-24 CREDIT MIS'!K:K,'Aug Dashboard.'!A209)</f>
        <v>4</v>
      </c>
      <c r="T209" s="24">
        <f>SUMIFS('Aug-24 CREDIT MIS'!T:T,'Aug-24 CREDIT MIS'!S:S,"Visit Pending",'Aug-24 CREDIT MIS'!K:K,'Aug Dashboard.'!A209)/100000</f>
        <v>31.9</v>
      </c>
    </row>
    <row r="210" spans="1:20" x14ac:dyDescent="0.25">
      <c r="A210" s="31" t="s">
        <v>127</v>
      </c>
      <c r="B210" s="25" t="s">
        <v>124</v>
      </c>
      <c r="C210" s="24">
        <f>COUNTIFS('Aug-24 CREDIT MIS'!C:C,"&lt;01-08-2024",'Aug-24 CREDIT MIS'!K:K,'Aug Dashboard.'!A210)</f>
        <v>0</v>
      </c>
      <c r="D210" s="24">
        <f>SUMIFS('Aug-24 CREDIT MIS'!T:T,'Aug-24 CREDIT MIS'!C:C,"&lt;01-08-2024",'Aug-24 CREDIT MIS'!K:K,'Aug Dashboard.'!A210)/100000</f>
        <v>0</v>
      </c>
      <c r="E210" s="24">
        <f>COUNTIFS('Aug-24 CREDIT MIS'!C:C,"&gt;=01-08-2024",'Aug-24 CREDIT MIS'!K:K,'Aug Dashboard.'!A210)</f>
        <v>9</v>
      </c>
      <c r="F210" s="24">
        <f>SUMIFS('Aug-24 CREDIT MIS'!T:T,'Aug-24 CREDIT MIS'!C:C,"&gt;=01-08-2024",'Aug-24 CREDIT MIS'!K:K,'Aug Dashboard.'!A210)/100000</f>
        <v>57.99</v>
      </c>
      <c r="G210" s="24">
        <f t="shared" si="67"/>
        <v>9</v>
      </c>
      <c r="H210" s="24">
        <f t="shared" si="68"/>
        <v>57.99</v>
      </c>
      <c r="I210" s="24">
        <f>COUNTIFS('Aug-24 CREDIT MIS'!S:S,"Sanction",'Aug-24 CREDIT MIS'!K:K,'Aug Dashboard.'!A210)+COUNTIFS('Aug-24 CREDIT MIS'!S:S,"Disbursed",'Aug-24 CREDIT MIS'!K:K,'Aug Dashboard.'!A210)</f>
        <v>1</v>
      </c>
      <c r="J210" s="24">
        <f>SUMIFS('Aug-24 CREDIT MIS'!V:V,'Aug-24 CREDIT MIS'!S:S,"Sanction",'Aug-24 CREDIT MIS'!K:K,'Aug Dashboard.'!A210)/100000+SUMIFS('Aug-24 CREDIT MIS'!V:V,'Aug-24 CREDIT MIS'!S:S,"Disbursed",'Aug-24 CREDIT MIS'!K:K,'Aug Dashboard.'!A210)/100000</f>
        <v>3</v>
      </c>
      <c r="K210" s="24">
        <f>COUNTIFS('Aug-24 CREDIT MIS'!S:S,"Reject",'Aug-24 CREDIT MIS'!K:K,'Aug Dashboard.'!A210)</f>
        <v>4</v>
      </c>
      <c r="L210" s="24">
        <f>SUMIFS('Aug-24 CREDIT MIS'!T:T,'Aug-24 CREDIT MIS'!S:S,"Reject",'Aug-24 CREDIT MIS'!K:K,'Aug Dashboard.'!A210)/100000</f>
        <v>25.99</v>
      </c>
      <c r="M210" s="24">
        <f>COUNTIFS('Aug-24 CREDIT MIS'!S:S,"Recommend",'Aug-24 CREDIT MIS'!K:K,'Aug Dashboard.'!A210)</f>
        <v>0</v>
      </c>
      <c r="N210" s="24">
        <f>SUMIFS('Aug-24 CREDIT MIS'!T:T,'Aug-24 CREDIT MIS'!S:S,"Recommend",'Aug-24 CREDIT MIS'!K:K,'Aug Dashboard.'!A210)/100000</f>
        <v>0</v>
      </c>
      <c r="O210" s="24">
        <f>COUNTIFS('Aug-24 CREDIT MIS'!S:S,"Query- Sales",'Aug-24 CREDIT MIS'!K:K,'Aug Dashboard.'!A210)</f>
        <v>3</v>
      </c>
      <c r="P210" s="24">
        <f>SUMIFS('Aug-24 CREDIT MIS'!T:T,'Aug-24 CREDIT MIS'!S:S,"Query- Sales",'Aug-24 CREDIT MIS'!K:K,'Aug Dashboard.'!A210)/100000</f>
        <v>18</v>
      </c>
      <c r="Q210" s="24">
        <f>COUNTIFS('Aug-24 CREDIT MIS'!S:S,"WIP- Credit",'Aug-24 CREDIT MIS'!K:K,'Aug Dashboard.'!A210)</f>
        <v>1</v>
      </c>
      <c r="R210" s="24">
        <f>SUMIFS('Aug-24 CREDIT MIS'!T:T,'Aug-24 CREDIT MIS'!S:S,"WIP- Credit",'Aug-24 CREDIT MIS'!K:K,'Aug Dashboard.'!A210)/100000</f>
        <v>8</v>
      </c>
      <c r="S210" s="24">
        <f>COUNTIFS('Aug-24 CREDIT MIS'!S:S,"Visit Pending",'Aug-24 CREDIT MIS'!K:K,'Aug Dashboard.'!A210)</f>
        <v>0</v>
      </c>
      <c r="T210" s="24">
        <f>SUMIFS('Aug-24 CREDIT MIS'!T:T,'Aug-24 CREDIT MIS'!S:S,"Visit Pending",'Aug-24 CREDIT MIS'!K:K,'Aug Dashboard.'!A210)/100000</f>
        <v>0</v>
      </c>
    </row>
    <row r="211" spans="1:20" x14ac:dyDescent="0.25">
      <c r="A211" s="31" t="s">
        <v>482</v>
      </c>
      <c r="B211" s="25" t="s">
        <v>124</v>
      </c>
      <c r="C211" s="24">
        <f>COUNTIFS('Aug-24 CREDIT MIS'!C:C,"&lt;01-08-2024",'Aug-24 CREDIT MIS'!K:K,'Aug Dashboard.'!A211)</f>
        <v>0</v>
      </c>
      <c r="D211" s="24">
        <f>SUMIFS('Aug-24 CREDIT MIS'!T:T,'Aug-24 CREDIT MIS'!C:C,"&lt;01-08-2024",'Aug-24 CREDIT MIS'!K:K,'Aug Dashboard.'!A211)/100000</f>
        <v>0</v>
      </c>
      <c r="E211" s="24">
        <f>COUNTIFS('Aug-24 CREDIT MIS'!C:C,"&gt;=01-08-2024",'Aug-24 CREDIT MIS'!K:K,'Aug Dashboard.'!A211)</f>
        <v>3</v>
      </c>
      <c r="F211" s="24">
        <f>SUMIFS('Aug-24 CREDIT MIS'!T:T,'Aug-24 CREDIT MIS'!C:C,"&gt;=01-08-2024",'Aug-24 CREDIT MIS'!K:K,'Aug Dashboard.'!A211)/100000</f>
        <v>14</v>
      </c>
      <c r="G211" s="24">
        <f t="shared" si="67"/>
        <v>3</v>
      </c>
      <c r="H211" s="24">
        <f t="shared" si="68"/>
        <v>14</v>
      </c>
      <c r="I211" s="24">
        <f>COUNTIFS('Aug-24 CREDIT MIS'!S:S,"Sanction",'Aug-24 CREDIT MIS'!K:K,'Aug Dashboard.'!A211)+COUNTIFS('Aug-24 CREDIT MIS'!S:S,"Disbursed",'Aug-24 CREDIT MIS'!K:K,'Aug Dashboard.'!A211)</f>
        <v>0</v>
      </c>
      <c r="J211" s="24">
        <f>SUMIFS('Aug-24 CREDIT MIS'!V:V,'Aug-24 CREDIT MIS'!S:S,"Sanction",'Aug-24 CREDIT MIS'!K:K,'Aug Dashboard.'!A211)/100000+SUMIFS('Aug-24 CREDIT MIS'!V:V,'Aug-24 CREDIT MIS'!S:S,"Disbursed",'Aug-24 CREDIT MIS'!K:K,'Aug Dashboard.'!A211)/100000</f>
        <v>0</v>
      </c>
      <c r="K211" s="24">
        <f>COUNTIFS('Aug-24 CREDIT MIS'!S:S,"Reject",'Aug-24 CREDIT MIS'!K:K,'Aug Dashboard.'!A211)</f>
        <v>1</v>
      </c>
      <c r="L211" s="24">
        <f>SUMIFS('Aug-24 CREDIT MIS'!T:T,'Aug-24 CREDIT MIS'!S:S,"Reject",'Aug-24 CREDIT MIS'!K:K,'Aug Dashboard.'!A211)/100000</f>
        <v>6</v>
      </c>
      <c r="M211" s="24">
        <f>COUNTIFS('Aug-24 CREDIT MIS'!S:S,"Recommend",'Aug-24 CREDIT MIS'!K:K,'Aug Dashboard.'!A211)</f>
        <v>0</v>
      </c>
      <c r="N211" s="24">
        <f>SUMIFS('Aug-24 CREDIT MIS'!T:T,'Aug-24 CREDIT MIS'!S:S,"Recommend",'Aug-24 CREDIT MIS'!K:K,'Aug Dashboard.'!A211)/100000</f>
        <v>0</v>
      </c>
      <c r="O211" s="24">
        <f>COUNTIFS('Aug-24 CREDIT MIS'!S:S,"Query- Sales",'Aug-24 CREDIT MIS'!K:K,'Aug Dashboard.'!A211)</f>
        <v>0</v>
      </c>
      <c r="P211" s="24">
        <f>SUMIFS('Aug-24 CREDIT MIS'!T:T,'Aug-24 CREDIT MIS'!S:S,"Query- Sales",'Aug-24 CREDIT MIS'!K:K,'Aug Dashboard.'!A211)/100000</f>
        <v>0</v>
      </c>
      <c r="Q211" s="24">
        <f>COUNTIFS('Aug-24 CREDIT MIS'!S:S,"WIP- Credit",'Aug-24 CREDIT MIS'!K:K,'Aug Dashboard.'!A211)</f>
        <v>2</v>
      </c>
      <c r="R211" s="24">
        <f>SUMIFS('Aug-24 CREDIT MIS'!T:T,'Aug-24 CREDIT MIS'!S:S,"WIP- Credit",'Aug-24 CREDIT MIS'!K:K,'Aug Dashboard.'!A211)/100000</f>
        <v>8</v>
      </c>
      <c r="S211" s="24">
        <f>COUNTIFS('Aug-24 CREDIT MIS'!S:S,"Visit Pending",'Aug-24 CREDIT MIS'!K:K,'Aug Dashboard.'!A211)</f>
        <v>0</v>
      </c>
      <c r="T211" s="24">
        <f>SUMIFS('Aug-24 CREDIT MIS'!T:T,'Aug-24 CREDIT MIS'!S:S,"Visit Pending",'Aug-24 CREDIT MIS'!K:K,'Aug Dashboard.'!A211)/100000</f>
        <v>0</v>
      </c>
    </row>
    <row r="212" spans="1:20" x14ac:dyDescent="0.25">
      <c r="A212" s="31" t="s">
        <v>126</v>
      </c>
      <c r="B212" s="25" t="s">
        <v>124</v>
      </c>
      <c r="C212" s="24">
        <f>COUNTIFS('Aug-24 CREDIT MIS'!C:C,"&lt;01-08-2024",'Aug-24 CREDIT MIS'!K:K,'Aug Dashboard.'!A212)</f>
        <v>4</v>
      </c>
      <c r="D212" s="24">
        <f>SUMIFS('Aug-24 CREDIT MIS'!T:T,'Aug-24 CREDIT MIS'!C:C,"&lt;01-08-2024",'Aug-24 CREDIT MIS'!K:K,'Aug Dashboard.'!A212)/100000</f>
        <v>27.899989999999999</v>
      </c>
      <c r="E212" s="24">
        <f>COUNTIFS('Aug-24 CREDIT MIS'!C:C,"&gt;=01-08-2024",'Aug-24 CREDIT MIS'!K:K,'Aug Dashboard.'!A212)</f>
        <v>17</v>
      </c>
      <c r="F212" s="24">
        <f>SUMIFS('Aug-24 CREDIT MIS'!T:T,'Aug-24 CREDIT MIS'!C:C,"&gt;=01-08-2024",'Aug-24 CREDIT MIS'!K:K,'Aug Dashboard.'!A212)/100000</f>
        <v>115.9</v>
      </c>
      <c r="G212" s="24">
        <f t="shared" si="67"/>
        <v>21</v>
      </c>
      <c r="H212" s="24">
        <f t="shared" si="68"/>
        <v>143.79999000000001</v>
      </c>
      <c r="I212" s="24">
        <f>COUNTIFS('Aug-24 CREDIT MIS'!S:S,"Sanction",'Aug-24 CREDIT MIS'!K:K,'Aug Dashboard.'!A212)+COUNTIFS('Aug-24 CREDIT MIS'!S:S,"Disbursed",'Aug-24 CREDIT MIS'!K:K,'Aug Dashboard.'!A212)</f>
        <v>0</v>
      </c>
      <c r="J212" s="24">
        <f>SUMIFS('Aug-24 CREDIT MIS'!V:V,'Aug-24 CREDIT MIS'!S:S,"Sanction",'Aug-24 CREDIT MIS'!K:K,'Aug Dashboard.'!A212)/100000+SUMIFS('Aug-24 CREDIT MIS'!V:V,'Aug-24 CREDIT MIS'!S:S,"Disbursed",'Aug-24 CREDIT MIS'!K:K,'Aug Dashboard.'!A212)/100000</f>
        <v>0</v>
      </c>
      <c r="K212" s="24">
        <f>COUNTIFS('Aug-24 CREDIT MIS'!S:S,"Reject",'Aug-24 CREDIT MIS'!K:K,'Aug Dashboard.'!A212)</f>
        <v>5</v>
      </c>
      <c r="L212" s="24">
        <f>SUMIFS('Aug-24 CREDIT MIS'!T:T,'Aug-24 CREDIT MIS'!S:S,"Reject",'Aug-24 CREDIT MIS'!K:K,'Aug Dashboard.'!A212)/100000</f>
        <v>34.399990000000003</v>
      </c>
      <c r="M212" s="24">
        <f>COUNTIFS('Aug-24 CREDIT MIS'!S:S,"Recommend",'Aug-24 CREDIT MIS'!K:K,'Aug Dashboard.'!A212)</f>
        <v>2</v>
      </c>
      <c r="N212" s="24">
        <f>SUMIFS('Aug-24 CREDIT MIS'!T:T,'Aug-24 CREDIT MIS'!S:S,"Recommend",'Aug-24 CREDIT MIS'!K:K,'Aug Dashboard.'!A212)/100000</f>
        <v>11</v>
      </c>
      <c r="O212" s="24">
        <f>COUNTIFS('Aug-24 CREDIT MIS'!S:S,"Query- Sales",'Aug-24 CREDIT MIS'!K:K,'Aug Dashboard.'!A212)</f>
        <v>0</v>
      </c>
      <c r="P212" s="24">
        <f>SUMIFS('Aug-24 CREDIT MIS'!T:T,'Aug-24 CREDIT MIS'!S:S,"Query- Sales",'Aug-24 CREDIT MIS'!K:K,'Aug Dashboard.'!A212)/100000</f>
        <v>0</v>
      </c>
      <c r="Q212" s="24">
        <f>COUNTIFS('Aug-24 CREDIT MIS'!S:S,"WIP- Credit",'Aug-24 CREDIT MIS'!K:K,'Aug Dashboard.'!A212)</f>
        <v>7</v>
      </c>
      <c r="R212" s="24">
        <f>SUMIFS('Aug-24 CREDIT MIS'!T:T,'Aug-24 CREDIT MIS'!S:S,"WIP- Credit",'Aug-24 CREDIT MIS'!K:K,'Aug Dashboard.'!A212)/100000</f>
        <v>40.5</v>
      </c>
      <c r="S212" s="24">
        <f>COUNTIFS('Aug-24 CREDIT MIS'!S:S,"Visit Pending",'Aug-24 CREDIT MIS'!K:K,'Aug Dashboard.'!A212)</f>
        <v>7</v>
      </c>
      <c r="T212" s="24">
        <f>SUMIFS('Aug-24 CREDIT MIS'!T:T,'Aug-24 CREDIT MIS'!S:S,"Visit Pending",'Aug-24 CREDIT MIS'!K:K,'Aug Dashboard.'!A212)/100000</f>
        <v>57.9</v>
      </c>
    </row>
    <row r="213" spans="1:20" x14ac:dyDescent="0.25">
      <c r="A213" s="31" t="s">
        <v>125</v>
      </c>
      <c r="B213" s="25" t="s">
        <v>124</v>
      </c>
      <c r="C213" s="24">
        <f>COUNTIFS('Aug-24 CREDIT MIS'!C:C,"&lt;01-08-2024",'Aug-24 CREDIT MIS'!K:K,'Aug Dashboard.'!A213)</f>
        <v>1</v>
      </c>
      <c r="D213" s="24">
        <f>SUMIFS('Aug-24 CREDIT MIS'!T:T,'Aug-24 CREDIT MIS'!C:C,"&lt;01-08-2024",'Aug-24 CREDIT MIS'!K:K,'Aug Dashboard.'!A213)/100000</f>
        <v>9</v>
      </c>
      <c r="E213" s="24">
        <f>COUNTIFS('Aug-24 CREDIT MIS'!C:C,"&gt;=01-08-2024",'Aug-24 CREDIT MIS'!K:K,'Aug Dashboard.'!A213)</f>
        <v>8</v>
      </c>
      <c r="F213" s="24">
        <f>SUMIFS('Aug-24 CREDIT MIS'!T:T,'Aug-24 CREDIT MIS'!C:C,"&gt;=01-08-2024",'Aug-24 CREDIT MIS'!K:K,'Aug Dashboard.'!A213)/100000</f>
        <v>50.5</v>
      </c>
      <c r="G213" s="24">
        <f t="shared" si="67"/>
        <v>9</v>
      </c>
      <c r="H213" s="24">
        <f t="shared" si="68"/>
        <v>59.5</v>
      </c>
      <c r="I213" s="24">
        <f>COUNTIFS('Aug-24 CREDIT MIS'!S:S,"Sanction",'Aug-24 CREDIT MIS'!K:K,'Aug Dashboard.'!A213)+COUNTIFS('Aug-24 CREDIT MIS'!S:S,"Disbursed",'Aug-24 CREDIT MIS'!K:K,'Aug Dashboard.'!A213)</f>
        <v>1</v>
      </c>
      <c r="J213" s="24">
        <f>SUMIFS('Aug-24 CREDIT MIS'!V:V,'Aug-24 CREDIT MIS'!S:S,"Sanction",'Aug-24 CREDIT MIS'!K:K,'Aug Dashboard.'!A213)/100000+SUMIFS('Aug-24 CREDIT MIS'!V:V,'Aug-24 CREDIT MIS'!S:S,"Disbursed",'Aug-24 CREDIT MIS'!K:K,'Aug Dashboard.'!A213)/100000</f>
        <v>5.5</v>
      </c>
      <c r="K213" s="24">
        <f>COUNTIFS('Aug-24 CREDIT MIS'!S:S,"Reject",'Aug-24 CREDIT MIS'!K:K,'Aug Dashboard.'!A213)</f>
        <v>2</v>
      </c>
      <c r="L213" s="24">
        <f>SUMIFS('Aug-24 CREDIT MIS'!T:T,'Aug-24 CREDIT MIS'!S:S,"Reject",'Aug-24 CREDIT MIS'!K:K,'Aug Dashboard.'!A213)/100000</f>
        <v>14</v>
      </c>
      <c r="M213" s="24">
        <f>COUNTIFS('Aug-24 CREDIT MIS'!S:S,"Recommend",'Aug-24 CREDIT MIS'!K:K,'Aug Dashboard.'!A213)</f>
        <v>0</v>
      </c>
      <c r="N213" s="24">
        <f>SUMIFS('Aug-24 CREDIT MIS'!T:T,'Aug-24 CREDIT MIS'!S:S,"Recommend",'Aug-24 CREDIT MIS'!K:K,'Aug Dashboard.'!A213)/100000</f>
        <v>0</v>
      </c>
      <c r="O213" s="24">
        <f>COUNTIFS('Aug-24 CREDIT MIS'!S:S,"Query- Sales",'Aug-24 CREDIT MIS'!K:K,'Aug Dashboard.'!A213)</f>
        <v>2</v>
      </c>
      <c r="P213" s="24">
        <f>SUMIFS('Aug-24 CREDIT MIS'!T:T,'Aug-24 CREDIT MIS'!S:S,"Query- Sales",'Aug-24 CREDIT MIS'!K:K,'Aug Dashboard.'!A213)/100000</f>
        <v>17</v>
      </c>
      <c r="Q213" s="24">
        <f>COUNTIFS('Aug-24 CREDIT MIS'!S:S,"WIP- Credit",'Aug-24 CREDIT MIS'!K:K,'Aug Dashboard.'!A213)</f>
        <v>2</v>
      </c>
      <c r="R213" s="24">
        <f>SUMIFS('Aug-24 CREDIT MIS'!T:T,'Aug-24 CREDIT MIS'!S:S,"WIP- Credit",'Aug-24 CREDIT MIS'!K:K,'Aug Dashboard.'!A213)/100000</f>
        <v>11.5</v>
      </c>
      <c r="S213" s="24">
        <f>COUNTIFS('Aug-24 CREDIT MIS'!S:S,"Visit Pending",'Aug-24 CREDIT MIS'!K:K,'Aug Dashboard.'!A213)</f>
        <v>2</v>
      </c>
      <c r="T213" s="24">
        <f>SUMIFS('Aug-24 CREDIT MIS'!T:T,'Aug-24 CREDIT MIS'!S:S,"Visit Pending",'Aug-24 CREDIT MIS'!K:K,'Aug Dashboard.'!A213)/100000</f>
        <v>8</v>
      </c>
    </row>
    <row r="214" spans="1:20" x14ac:dyDescent="0.25">
      <c r="A214" s="23" t="s">
        <v>123</v>
      </c>
      <c r="B214" s="22">
        <f t="shared" ref="B214:T214" si="69">SUM(B201:B213)</f>
        <v>0</v>
      </c>
      <c r="C214" s="22">
        <f t="shared" si="69"/>
        <v>13</v>
      </c>
      <c r="D214" s="22">
        <f t="shared" si="69"/>
        <v>178.79999000000001</v>
      </c>
      <c r="E214" s="22">
        <f t="shared" si="69"/>
        <v>87</v>
      </c>
      <c r="F214" s="22">
        <f t="shared" si="69"/>
        <v>587.09</v>
      </c>
      <c r="G214" s="22">
        <f t="shared" si="69"/>
        <v>100</v>
      </c>
      <c r="H214" s="22">
        <f t="shared" si="69"/>
        <v>765.8899899999999</v>
      </c>
      <c r="I214" s="22">
        <f t="shared" si="69"/>
        <v>8</v>
      </c>
      <c r="J214" s="22">
        <f t="shared" si="69"/>
        <v>32.799999999999997</v>
      </c>
      <c r="K214" s="22">
        <f t="shared" si="69"/>
        <v>20</v>
      </c>
      <c r="L214" s="22">
        <f t="shared" si="69"/>
        <v>145.28998999999999</v>
      </c>
      <c r="M214" s="22">
        <f t="shared" si="69"/>
        <v>10</v>
      </c>
      <c r="N214" s="22">
        <f t="shared" si="69"/>
        <v>103.69999999999999</v>
      </c>
      <c r="O214" s="22">
        <f t="shared" si="69"/>
        <v>15</v>
      </c>
      <c r="P214" s="22">
        <f t="shared" si="69"/>
        <v>146</v>
      </c>
      <c r="Q214" s="22">
        <f t="shared" si="69"/>
        <v>21</v>
      </c>
      <c r="R214" s="22">
        <f t="shared" si="69"/>
        <v>129.5</v>
      </c>
      <c r="S214" s="22">
        <f t="shared" si="69"/>
        <v>26</v>
      </c>
      <c r="T214" s="22">
        <f t="shared" si="69"/>
        <v>186.5</v>
      </c>
    </row>
    <row r="216" spans="1:20" x14ac:dyDescent="0.25">
      <c r="A216" s="155" t="s">
        <v>122</v>
      </c>
      <c r="B216" s="154"/>
      <c r="C216" s="154"/>
      <c r="D216" s="154"/>
      <c r="E216" s="154"/>
      <c r="F216" s="154"/>
      <c r="G216" s="154"/>
      <c r="H216" s="154"/>
    </row>
    <row r="217" spans="1:20" hidden="1" x14ac:dyDescent="0.25">
      <c r="A217" s="21" t="s">
        <v>121</v>
      </c>
      <c r="B217" s="21" t="s">
        <v>120</v>
      </c>
      <c r="C217" s="20"/>
      <c r="D217" s="20"/>
      <c r="E217" s="20"/>
      <c r="F217" s="20"/>
      <c r="G217" s="20"/>
      <c r="H217" s="20"/>
      <c r="I217"/>
      <c r="J217"/>
    </row>
    <row r="218" spans="1:20" x14ac:dyDescent="0.25">
      <c r="A218" s="19" t="s">
        <v>105</v>
      </c>
      <c r="B218" s="5" t="s">
        <v>0</v>
      </c>
      <c r="C218" s="5" t="s">
        <v>7</v>
      </c>
      <c r="D218" s="5" t="s">
        <v>45</v>
      </c>
      <c r="E218" s="5" t="s">
        <v>27</v>
      </c>
      <c r="F218" s="5" t="s">
        <v>21</v>
      </c>
      <c r="G218" s="5" t="s">
        <v>51</v>
      </c>
      <c r="H218" s="5" t="s">
        <v>117</v>
      </c>
      <c r="I218"/>
      <c r="J218"/>
    </row>
    <row r="219" spans="1:20" x14ac:dyDescent="0.25">
      <c r="A219" s="5" t="s">
        <v>84</v>
      </c>
      <c r="B219" s="5">
        <v>11</v>
      </c>
      <c r="C219" s="5">
        <v>8</v>
      </c>
      <c r="D219" s="5">
        <v>2</v>
      </c>
      <c r="E219" s="5">
        <v>5</v>
      </c>
      <c r="F219" s="5">
        <v>1</v>
      </c>
      <c r="G219" s="5">
        <v>3</v>
      </c>
      <c r="H219" s="5">
        <v>30</v>
      </c>
      <c r="I219"/>
      <c r="J219"/>
    </row>
    <row r="220" spans="1:20" x14ac:dyDescent="0.25">
      <c r="A220" s="5" t="s">
        <v>65</v>
      </c>
      <c r="B220" s="5">
        <v>3</v>
      </c>
      <c r="C220" s="5">
        <v>2</v>
      </c>
      <c r="D220" s="5">
        <v>2</v>
      </c>
      <c r="E220" s="5">
        <v>2</v>
      </c>
      <c r="F220" s="5">
        <v>3</v>
      </c>
      <c r="G220" s="5"/>
      <c r="H220" s="5">
        <v>12</v>
      </c>
      <c r="I220"/>
      <c r="J220"/>
    </row>
    <row r="221" spans="1:20" x14ac:dyDescent="0.25">
      <c r="A221" s="5" t="s">
        <v>118</v>
      </c>
      <c r="B221" s="5">
        <v>1</v>
      </c>
      <c r="C221" s="5">
        <v>3</v>
      </c>
      <c r="D221" s="5"/>
      <c r="E221" s="5">
        <v>8</v>
      </c>
      <c r="F221" s="5">
        <v>8</v>
      </c>
      <c r="G221" s="5">
        <v>3</v>
      </c>
      <c r="H221" s="5">
        <v>23</v>
      </c>
      <c r="I221"/>
      <c r="J221"/>
    </row>
    <row r="222" spans="1:20" x14ac:dyDescent="0.25">
      <c r="A222" s="5" t="s">
        <v>78</v>
      </c>
      <c r="B222" s="5">
        <v>2</v>
      </c>
      <c r="C222" s="5">
        <v>2</v>
      </c>
      <c r="D222" s="5"/>
      <c r="E222" s="5">
        <v>2</v>
      </c>
      <c r="F222" s="5">
        <v>2</v>
      </c>
      <c r="G222" s="5">
        <v>1</v>
      </c>
      <c r="H222" s="5">
        <v>9</v>
      </c>
      <c r="I222"/>
      <c r="J222"/>
      <c r="K222" s="135"/>
    </row>
    <row r="223" spans="1:20" x14ac:dyDescent="0.25">
      <c r="A223" s="5" t="s">
        <v>70</v>
      </c>
      <c r="B223" s="5">
        <v>7</v>
      </c>
      <c r="C223" s="5">
        <v>5</v>
      </c>
      <c r="D223" s="5">
        <v>4</v>
      </c>
      <c r="E223" s="5">
        <v>2</v>
      </c>
      <c r="F223" s="5"/>
      <c r="G223" s="5">
        <v>1</v>
      </c>
      <c r="H223" s="5">
        <v>19</v>
      </c>
      <c r="I223"/>
      <c r="J223"/>
      <c r="K223" s="135"/>
    </row>
    <row r="224" spans="1:20" x14ac:dyDescent="0.25">
      <c r="A224" s="5" t="s">
        <v>34</v>
      </c>
      <c r="B224" s="5">
        <v>2</v>
      </c>
      <c r="C224" s="5">
        <v>1</v>
      </c>
      <c r="D224" s="5">
        <v>1</v>
      </c>
      <c r="E224" s="5">
        <v>1</v>
      </c>
      <c r="F224" s="5">
        <v>1</v>
      </c>
      <c r="G224" s="5"/>
      <c r="H224" s="5">
        <v>6</v>
      </c>
      <c r="I224"/>
      <c r="J224"/>
      <c r="K224" s="136"/>
    </row>
    <row r="225" spans="1:11" x14ac:dyDescent="0.25">
      <c r="A225" s="5" t="s">
        <v>134</v>
      </c>
      <c r="B225" s="5"/>
      <c r="C225" s="5"/>
      <c r="D225" s="5">
        <v>1</v>
      </c>
      <c r="E225" s="5"/>
      <c r="F225" s="5"/>
      <c r="G225" s="5"/>
      <c r="H225" s="5">
        <v>1</v>
      </c>
      <c r="I225"/>
      <c r="J225"/>
      <c r="K225" s="135"/>
    </row>
    <row r="226" spans="1:11" x14ac:dyDescent="0.25">
      <c r="A226" s="5" t="s">
        <v>117</v>
      </c>
      <c r="B226" s="5">
        <v>26</v>
      </c>
      <c r="C226" s="5">
        <v>21</v>
      </c>
      <c r="D226" s="5">
        <v>10</v>
      </c>
      <c r="E226" s="5">
        <v>20</v>
      </c>
      <c r="F226" s="5">
        <v>15</v>
      </c>
      <c r="G226" s="5">
        <v>8</v>
      </c>
      <c r="H226" s="5">
        <v>100</v>
      </c>
      <c r="I226"/>
      <c r="J226"/>
      <c r="K226" s="135"/>
    </row>
    <row r="227" spans="1:11" x14ac:dyDescent="0.25">
      <c r="A227"/>
      <c r="B227"/>
      <c r="C227"/>
      <c r="D227"/>
      <c r="E227"/>
      <c r="F227"/>
      <c r="G227"/>
      <c r="H227"/>
      <c r="I227"/>
      <c r="J227"/>
      <c r="K227" s="135"/>
    </row>
    <row r="228" spans="1:11" x14ac:dyDescent="0.25">
      <c r="K228" s="136"/>
    </row>
    <row r="229" spans="1:11" x14ac:dyDescent="0.25">
      <c r="K229" s="135"/>
    </row>
    <row r="230" spans="1:11" x14ac:dyDescent="0.25">
      <c r="K230" s="135"/>
    </row>
    <row r="231" spans="1:11" x14ac:dyDescent="0.25">
      <c r="K231" s="135"/>
    </row>
    <row r="232" spans="1:11" x14ac:dyDescent="0.25">
      <c r="K232" s="136"/>
    </row>
    <row r="233" spans="1:11" x14ac:dyDescent="0.25">
      <c r="K233" s="135"/>
    </row>
    <row r="234" spans="1:11" x14ac:dyDescent="0.25">
      <c r="K234" s="136"/>
    </row>
    <row r="235" spans="1:11" x14ac:dyDescent="0.25">
      <c r="K235" s="135"/>
    </row>
    <row r="236" spans="1:11" x14ac:dyDescent="0.25">
      <c r="K236" s="135"/>
    </row>
    <row r="237" spans="1:11" x14ac:dyDescent="0.25">
      <c r="K237" s="135"/>
    </row>
    <row r="238" spans="1:11" x14ac:dyDescent="0.25">
      <c r="K238" s="135"/>
    </row>
    <row r="239" spans="1:11" x14ac:dyDescent="0.25">
      <c r="K239" s="136"/>
    </row>
    <row r="240" spans="1:11" x14ac:dyDescent="0.25">
      <c r="K240" s="135"/>
    </row>
    <row r="241" spans="11:11" x14ac:dyDescent="0.25">
      <c r="K241" s="135"/>
    </row>
    <row r="492" spans="17:19" x14ac:dyDescent="0.25">
      <c r="Q492" s="1" t="s">
        <v>27</v>
      </c>
      <c r="S492" s="18">
        <v>45353</v>
      </c>
    </row>
  </sheetData>
  <mergeCells count="54">
    <mergeCell ref="A1:L1"/>
    <mergeCell ref="K182:L182"/>
    <mergeCell ref="A181:L181"/>
    <mergeCell ref="O2:P2"/>
    <mergeCell ref="C2:D2"/>
    <mergeCell ref="E2:F2"/>
    <mergeCell ref="G2:H2"/>
    <mergeCell ref="I2:J2"/>
    <mergeCell ref="K2:L2"/>
    <mergeCell ref="I92:J92"/>
    <mergeCell ref="O92:P92"/>
    <mergeCell ref="E182:F182"/>
    <mergeCell ref="A162:B162"/>
    <mergeCell ref="A131:B131"/>
    <mergeCell ref="A2:B2"/>
    <mergeCell ref="K92:L92"/>
    <mergeCell ref="A198:T198"/>
    <mergeCell ref="Q199:R199"/>
    <mergeCell ref="S199:T199"/>
    <mergeCell ref="E199:F199"/>
    <mergeCell ref="G199:H199"/>
    <mergeCell ref="I199:J199"/>
    <mergeCell ref="K199:L199"/>
    <mergeCell ref="M199:N199"/>
    <mergeCell ref="O199:P199"/>
    <mergeCell ref="C199:D199"/>
    <mergeCell ref="A182:B182"/>
    <mergeCell ref="C182:D182"/>
    <mergeCell ref="G182:H182"/>
    <mergeCell ref="A91:T91"/>
    <mergeCell ref="Q92:R92"/>
    <mergeCell ref="E92:F92"/>
    <mergeCell ref="G92:H92"/>
    <mergeCell ref="A179:B179"/>
    <mergeCell ref="A124:B124"/>
    <mergeCell ref="A107:B107"/>
    <mergeCell ref="A92:B92"/>
    <mergeCell ref="S92:T92"/>
    <mergeCell ref="C92:D92"/>
    <mergeCell ref="M92:N92"/>
    <mergeCell ref="A163:B163"/>
    <mergeCell ref="I182:J182"/>
    <mergeCell ref="A178:B178"/>
    <mergeCell ref="A155:B155"/>
    <mergeCell ref="A3:B3"/>
    <mergeCell ref="A89:B89"/>
    <mergeCell ref="A71:B71"/>
    <mergeCell ref="A72:B72"/>
    <mergeCell ref="A88:B88"/>
    <mergeCell ref="A17:B17"/>
    <mergeCell ref="A34:B34"/>
    <mergeCell ref="A41:B41"/>
    <mergeCell ref="A64:B64"/>
    <mergeCell ref="A93:B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79998168889431442"/>
  </sheetPr>
  <dimension ref="A1:P390"/>
  <sheetViews>
    <sheetView topLeftCell="B1" workbookViewId="0">
      <pane ySplit="1" topLeftCell="A2" activePane="bottomLeft" state="frozen"/>
      <selection sqref="A1:L1"/>
      <selection pane="bottomLeft" activeCell="E26" sqref="E26"/>
    </sheetView>
  </sheetViews>
  <sheetFormatPr defaultColWidth="9" defaultRowHeight="15" x14ac:dyDescent="0.25"/>
  <cols>
    <col min="1" max="1" width="16.28515625" customWidth="1"/>
    <col min="3" max="3" width="8.85546875" bestFit="1" customWidth="1"/>
    <col min="4" max="4" width="24.140625" style="1" bestFit="1" customWidth="1"/>
    <col min="5" max="5" width="14.42578125" style="1" bestFit="1" customWidth="1"/>
    <col min="6" max="6" width="21.7109375" bestFit="1" customWidth="1"/>
    <col min="7" max="7" width="17.28515625" bestFit="1" customWidth="1"/>
    <col min="8" max="9" width="20.140625" bestFit="1" customWidth="1"/>
    <col min="10" max="10" width="12.28515625" bestFit="1" customWidth="1"/>
    <col min="11" max="11" width="14" bestFit="1" customWidth="1"/>
    <col min="12" max="12" width="16.5703125" bestFit="1" customWidth="1"/>
    <col min="18" max="18" width="20.5703125" bestFit="1" customWidth="1"/>
    <col min="19" max="19" width="16.5703125" bestFit="1" customWidth="1"/>
    <col min="20" max="21" width="5.5703125" bestFit="1" customWidth="1"/>
  </cols>
  <sheetData>
    <row r="1" spans="1:16" x14ac:dyDescent="0.25">
      <c r="A1" s="126" t="s">
        <v>113</v>
      </c>
      <c r="C1" s="131" t="s">
        <v>463</v>
      </c>
      <c r="D1" s="131" t="s">
        <v>111</v>
      </c>
      <c r="E1" s="131" t="s">
        <v>462</v>
      </c>
      <c r="F1" s="131" t="s">
        <v>110</v>
      </c>
      <c r="G1" s="131" t="s">
        <v>461</v>
      </c>
      <c r="H1" s="131" t="s">
        <v>460</v>
      </c>
      <c r="I1" s="131" t="s">
        <v>105</v>
      </c>
      <c r="J1" s="131" t="s">
        <v>109</v>
      </c>
      <c r="K1" s="131" t="s">
        <v>107</v>
      </c>
      <c r="L1" s="131" t="s">
        <v>106</v>
      </c>
      <c r="M1" s="125"/>
    </row>
    <row r="2" spans="1:16" ht="14.45" customHeight="1" x14ac:dyDescent="0.25">
      <c r="A2" t="s">
        <v>20</v>
      </c>
      <c r="C2" s="63">
        <v>1451</v>
      </c>
      <c r="D2" s="97" t="s">
        <v>459</v>
      </c>
      <c r="E2" s="63" t="s">
        <v>4</v>
      </c>
      <c r="F2" s="97" t="s">
        <v>222</v>
      </c>
      <c r="G2" s="99" t="s">
        <v>130</v>
      </c>
      <c r="H2" s="97" t="s">
        <v>44</v>
      </c>
      <c r="I2" s="97" t="s">
        <v>70</v>
      </c>
      <c r="J2" s="95">
        <v>1358</v>
      </c>
      <c r="K2" s="95">
        <v>1463</v>
      </c>
      <c r="L2" s="5" t="s">
        <v>226</v>
      </c>
      <c r="M2" s="1"/>
    </row>
    <row r="3" spans="1:16" ht="14.45" customHeight="1" x14ac:dyDescent="0.25">
      <c r="A3" t="s">
        <v>72</v>
      </c>
      <c r="C3" s="63">
        <v>3030</v>
      </c>
      <c r="D3" s="101" t="s">
        <v>245</v>
      </c>
      <c r="E3" s="63" t="s">
        <v>4</v>
      </c>
      <c r="F3" s="63" t="s">
        <v>222</v>
      </c>
      <c r="G3" s="99" t="s">
        <v>130</v>
      </c>
      <c r="H3" s="97" t="s">
        <v>44</v>
      </c>
      <c r="I3" s="97" t="s">
        <v>70</v>
      </c>
      <c r="J3" s="95">
        <v>1358</v>
      </c>
      <c r="K3" s="95">
        <v>1463</v>
      </c>
      <c r="L3" s="5" t="s">
        <v>226</v>
      </c>
      <c r="M3" s="1"/>
      <c r="N3" t="s">
        <v>51</v>
      </c>
      <c r="P3" s="15" t="s">
        <v>55</v>
      </c>
    </row>
    <row r="4" spans="1:16" ht="14.45" customHeight="1" x14ac:dyDescent="0.25">
      <c r="A4" t="s">
        <v>82</v>
      </c>
      <c r="C4" s="63">
        <v>3161</v>
      </c>
      <c r="D4" s="101" t="s">
        <v>458</v>
      </c>
      <c r="E4" s="63" t="s">
        <v>4</v>
      </c>
      <c r="F4" s="63" t="s">
        <v>222</v>
      </c>
      <c r="G4" s="99" t="s">
        <v>130</v>
      </c>
      <c r="H4" s="97" t="s">
        <v>44</v>
      </c>
      <c r="I4" s="97" t="s">
        <v>70</v>
      </c>
      <c r="J4" s="95">
        <v>1358</v>
      </c>
      <c r="K4" s="95">
        <v>1463</v>
      </c>
      <c r="L4" s="5" t="s">
        <v>226</v>
      </c>
      <c r="M4" s="1"/>
      <c r="N4" t="s">
        <v>27</v>
      </c>
      <c r="P4" s="15" t="s">
        <v>64</v>
      </c>
    </row>
    <row r="5" spans="1:16" ht="14.45" customHeight="1" x14ac:dyDescent="0.25">
      <c r="A5" t="s">
        <v>24</v>
      </c>
      <c r="C5" s="63">
        <v>3006</v>
      </c>
      <c r="D5" s="122" t="s">
        <v>457</v>
      </c>
      <c r="E5" s="63" t="s">
        <v>4</v>
      </c>
      <c r="F5" s="63" t="s">
        <v>222</v>
      </c>
      <c r="G5" s="99" t="s">
        <v>130</v>
      </c>
      <c r="H5" s="97" t="s">
        <v>44</v>
      </c>
      <c r="I5" s="97" t="s">
        <v>70</v>
      </c>
      <c r="J5" s="95">
        <v>1358</v>
      </c>
      <c r="K5" s="95">
        <v>1463</v>
      </c>
      <c r="L5" s="5" t="s">
        <v>226</v>
      </c>
      <c r="M5" s="1"/>
      <c r="N5" t="s">
        <v>21</v>
      </c>
      <c r="P5" s="15" t="s">
        <v>26</v>
      </c>
    </row>
    <row r="6" spans="1:16" ht="14.45" customHeight="1" x14ac:dyDescent="0.25">
      <c r="A6" t="s">
        <v>1</v>
      </c>
      <c r="C6" s="63">
        <v>3101</v>
      </c>
      <c r="D6" s="109" t="s">
        <v>456</v>
      </c>
      <c r="E6" s="63" t="s">
        <v>4</v>
      </c>
      <c r="F6" s="97" t="s">
        <v>222</v>
      </c>
      <c r="G6" s="99" t="s">
        <v>130</v>
      </c>
      <c r="H6" s="97" t="s">
        <v>44</v>
      </c>
      <c r="I6" s="97" t="s">
        <v>70</v>
      </c>
      <c r="J6" s="95">
        <v>1358</v>
      </c>
      <c r="K6" s="95">
        <v>1463</v>
      </c>
      <c r="L6" s="5" t="s">
        <v>226</v>
      </c>
      <c r="M6" s="1"/>
      <c r="N6" t="s">
        <v>7</v>
      </c>
      <c r="P6" s="15" t="s">
        <v>455</v>
      </c>
    </row>
    <row r="7" spans="1:16" ht="14.45" customHeight="1" x14ac:dyDescent="0.25">
      <c r="A7" t="s">
        <v>454</v>
      </c>
      <c r="C7" s="63">
        <v>3059</v>
      </c>
      <c r="D7" s="109" t="s">
        <v>453</v>
      </c>
      <c r="E7" s="63" t="s">
        <v>4</v>
      </c>
      <c r="F7" s="97" t="s">
        <v>222</v>
      </c>
      <c r="G7" s="99" t="s">
        <v>130</v>
      </c>
      <c r="H7" s="97" t="s">
        <v>44</v>
      </c>
      <c r="I7" s="97" t="s">
        <v>70</v>
      </c>
      <c r="J7" s="95">
        <v>1358</v>
      </c>
      <c r="K7" s="95">
        <v>1463</v>
      </c>
      <c r="L7" s="5" t="s">
        <v>226</v>
      </c>
      <c r="M7" s="1"/>
      <c r="N7" t="s">
        <v>452</v>
      </c>
      <c r="P7" s="15" t="s">
        <v>62</v>
      </c>
    </row>
    <row r="8" spans="1:16" ht="14.45" customHeight="1" x14ac:dyDescent="0.25">
      <c r="A8" t="s">
        <v>11</v>
      </c>
      <c r="C8" s="63">
        <v>1358</v>
      </c>
      <c r="D8" s="97" t="s">
        <v>222</v>
      </c>
      <c r="E8" s="63" t="s">
        <v>4</v>
      </c>
      <c r="F8" s="63" t="s">
        <v>222</v>
      </c>
      <c r="G8" s="99" t="s">
        <v>130</v>
      </c>
      <c r="H8" s="97" t="s">
        <v>44</v>
      </c>
      <c r="I8" s="97" t="s">
        <v>70</v>
      </c>
      <c r="J8" s="95">
        <v>1358</v>
      </c>
      <c r="K8" s="95">
        <v>1463</v>
      </c>
      <c r="L8" s="5" t="s">
        <v>226</v>
      </c>
      <c r="M8" s="1"/>
      <c r="N8" t="s">
        <v>45</v>
      </c>
    </row>
    <row r="9" spans="1:16" ht="14.45" customHeight="1" x14ac:dyDescent="0.25">
      <c r="A9" t="s">
        <v>451</v>
      </c>
      <c r="C9" s="63">
        <v>1453</v>
      </c>
      <c r="D9" s="97" t="s">
        <v>450</v>
      </c>
      <c r="E9" s="63" t="s">
        <v>4</v>
      </c>
      <c r="F9" s="97" t="s">
        <v>222</v>
      </c>
      <c r="G9" s="99" t="s">
        <v>130</v>
      </c>
      <c r="H9" s="67" t="s">
        <v>80</v>
      </c>
      <c r="I9" s="97" t="s">
        <v>70</v>
      </c>
      <c r="J9" s="95">
        <v>1358</v>
      </c>
      <c r="K9" s="95">
        <v>1463</v>
      </c>
      <c r="L9" s="5" t="s">
        <v>226</v>
      </c>
      <c r="M9" s="115"/>
    </row>
    <row r="10" spans="1:16" ht="14.45" customHeight="1" x14ac:dyDescent="0.25">
      <c r="A10" t="s">
        <v>13</v>
      </c>
      <c r="C10" s="63">
        <v>1394</v>
      </c>
      <c r="D10" s="95" t="s">
        <v>449</v>
      </c>
      <c r="E10" s="63" t="s">
        <v>4</v>
      </c>
      <c r="F10" s="97" t="s">
        <v>222</v>
      </c>
      <c r="G10" s="99" t="s">
        <v>130</v>
      </c>
      <c r="H10" s="67" t="s">
        <v>80</v>
      </c>
      <c r="I10" s="97" t="s">
        <v>70</v>
      </c>
      <c r="J10" s="95">
        <v>1358</v>
      </c>
      <c r="K10" s="95">
        <v>1463</v>
      </c>
      <c r="L10" s="5" t="s">
        <v>226</v>
      </c>
      <c r="M10" s="1"/>
    </row>
    <row r="11" spans="1:16" ht="14.45" customHeight="1" x14ac:dyDescent="0.25">
      <c r="A11" t="s">
        <v>182</v>
      </c>
      <c r="C11" s="63">
        <v>1618</v>
      </c>
      <c r="D11" s="97" t="s">
        <v>448</v>
      </c>
      <c r="E11" s="63" t="s">
        <v>24</v>
      </c>
      <c r="F11" s="51" t="s">
        <v>177</v>
      </c>
      <c r="G11" s="63" t="s">
        <v>129</v>
      </c>
      <c r="H11" s="97" t="s">
        <v>231</v>
      </c>
      <c r="I11" s="97" t="s">
        <v>118</v>
      </c>
      <c r="J11" s="51">
        <v>3337</v>
      </c>
      <c r="K11" s="95">
        <v>1447</v>
      </c>
      <c r="L11" s="5" t="s">
        <v>226</v>
      </c>
      <c r="M11" s="111"/>
    </row>
    <row r="12" spans="1:16" ht="14.45" customHeight="1" x14ac:dyDescent="0.25">
      <c r="A12" t="s">
        <v>284</v>
      </c>
      <c r="C12" s="63">
        <v>1813</v>
      </c>
      <c r="D12" s="109" t="s">
        <v>447</v>
      </c>
      <c r="E12" s="63" t="s">
        <v>24</v>
      </c>
      <c r="F12" s="51" t="s">
        <v>177</v>
      </c>
      <c r="G12" s="63" t="s">
        <v>129</v>
      </c>
      <c r="H12" s="97" t="s">
        <v>231</v>
      </c>
      <c r="I12" s="97" t="s">
        <v>118</v>
      </c>
      <c r="J12" s="51">
        <v>3337</v>
      </c>
      <c r="K12" s="95">
        <v>1447</v>
      </c>
      <c r="L12" s="5" t="s">
        <v>226</v>
      </c>
      <c r="M12" s="1"/>
    </row>
    <row r="13" spans="1:16" ht="14.45" customHeight="1" x14ac:dyDescent="0.25">
      <c r="A13" t="s">
        <v>59</v>
      </c>
      <c r="C13" s="63">
        <v>3225</v>
      </c>
      <c r="D13" s="95" t="s">
        <v>446</v>
      </c>
      <c r="E13" s="95" t="s">
        <v>24</v>
      </c>
      <c r="F13" s="51" t="s">
        <v>177</v>
      </c>
      <c r="G13" s="63" t="s">
        <v>129</v>
      </c>
      <c r="H13" s="97" t="s">
        <v>231</v>
      </c>
      <c r="I13" s="97" t="s">
        <v>118</v>
      </c>
      <c r="J13" s="51">
        <v>3337</v>
      </c>
      <c r="K13" s="95">
        <v>1447</v>
      </c>
      <c r="L13" s="5" t="s">
        <v>226</v>
      </c>
      <c r="M13" s="1"/>
    </row>
    <row r="14" spans="1:16" ht="14.45" customHeight="1" x14ac:dyDescent="0.25">
      <c r="A14" t="s">
        <v>71</v>
      </c>
      <c r="C14" s="63">
        <v>2064</v>
      </c>
      <c r="D14" s="124" t="s">
        <v>445</v>
      </c>
      <c r="E14" s="97" t="s">
        <v>24</v>
      </c>
      <c r="F14" s="51" t="s">
        <v>177</v>
      </c>
      <c r="G14" s="63" t="s">
        <v>129</v>
      </c>
      <c r="H14" s="97" t="s">
        <v>231</v>
      </c>
      <c r="I14" s="97" t="s">
        <v>118</v>
      </c>
      <c r="J14" s="51">
        <v>3337</v>
      </c>
      <c r="K14" s="95">
        <v>1447</v>
      </c>
      <c r="L14" s="5" t="s">
        <v>226</v>
      </c>
      <c r="M14" s="1"/>
    </row>
    <row r="15" spans="1:16" ht="14.45" customHeight="1" x14ac:dyDescent="0.25">
      <c r="A15" t="s">
        <v>57</v>
      </c>
      <c r="C15" s="63">
        <v>3222</v>
      </c>
      <c r="D15" s="95" t="s">
        <v>444</v>
      </c>
      <c r="E15" s="95" t="s">
        <v>24</v>
      </c>
      <c r="F15" s="51" t="s">
        <v>177</v>
      </c>
      <c r="G15" s="63" t="s">
        <v>129</v>
      </c>
      <c r="H15" s="97" t="s">
        <v>231</v>
      </c>
      <c r="I15" s="97" t="s">
        <v>118</v>
      </c>
      <c r="J15" s="51">
        <v>3337</v>
      </c>
      <c r="K15" s="95">
        <v>1447</v>
      </c>
      <c r="L15" s="5" t="s">
        <v>226</v>
      </c>
      <c r="M15" s="1"/>
    </row>
    <row r="16" spans="1:16" ht="14.45" customHeight="1" x14ac:dyDescent="0.25">
      <c r="A16" t="s">
        <v>18</v>
      </c>
      <c r="C16" s="63">
        <v>1486</v>
      </c>
      <c r="D16" s="97" t="s">
        <v>443</v>
      </c>
      <c r="E16" s="63" t="s">
        <v>4</v>
      </c>
      <c r="F16" s="97" t="s">
        <v>221</v>
      </c>
      <c r="G16" s="99" t="s">
        <v>130</v>
      </c>
      <c r="H16" s="97" t="s">
        <v>44</v>
      </c>
      <c r="I16" s="97" t="s">
        <v>70</v>
      </c>
      <c r="J16" s="51">
        <v>1439</v>
      </c>
      <c r="K16" s="95">
        <v>1463</v>
      </c>
      <c r="L16" s="5" t="s">
        <v>226</v>
      </c>
      <c r="M16" s="115"/>
    </row>
    <row r="17" spans="1:13" ht="14.45" customHeight="1" x14ac:dyDescent="0.25">
      <c r="A17" t="s">
        <v>182</v>
      </c>
      <c r="C17" s="63">
        <v>1551</v>
      </c>
      <c r="D17" s="97" t="s">
        <v>442</v>
      </c>
      <c r="E17" s="63" t="s">
        <v>4</v>
      </c>
      <c r="F17" s="97" t="s">
        <v>221</v>
      </c>
      <c r="G17" s="99" t="s">
        <v>130</v>
      </c>
      <c r="H17" s="97" t="s">
        <v>44</v>
      </c>
      <c r="I17" s="97" t="s">
        <v>70</v>
      </c>
      <c r="J17" s="51">
        <v>1439</v>
      </c>
      <c r="K17" s="95">
        <v>1463</v>
      </c>
      <c r="L17" s="5" t="s">
        <v>226</v>
      </c>
      <c r="M17" s="1"/>
    </row>
    <row r="18" spans="1:13" ht="14.45" customHeight="1" x14ac:dyDescent="0.25">
      <c r="A18" t="s">
        <v>2</v>
      </c>
      <c r="C18" s="63">
        <v>3051</v>
      </c>
      <c r="D18" s="67" t="s">
        <v>441</v>
      </c>
      <c r="E18" s="63" t="s">
        <v>4</v>
      </c>
      <c r="F18" s="97" t="s">
        <v>221</v>
      </c>
      <c r="G18" s="99" t="s">
        <v>130</v>
      </c>
      <c r="H18" s="97" t="s">
        <v>44</v>
      </c>
      <c r="I18" s="97" t="s">
        <v>70</v>
      </c>
      <c r="J18" s="51">
        <v>1439</v>
      </c>
      <c r="K18" s="95">
        <v>1463</v>
      </c>
      <c r="L18" s="5" t="s">
        <v>226</v>
      </c>
      <c r="M18" s="1"/>
    </row>
    <row r="19" spans="1:13" ht="14.45" customHeight="1" x14ac:dyDescent="0.25">
      <c r="A19" t="s">
        <v>50</v>
      </c>
      <c r="C19" s="63">
        <v>3007</v>
      </c>
      <c r="D19" s="109" t="s">
        <v>440</v>
      </c>
      <c r="E19" s="63" t="s">
        <v>4</v>
      </c>
      <c r="F19" s="97" t="s">
        <v>221</v>
      </c>
      <c r="G19" s="99" t="s">
        <v>130</v>
      </c>
      <c r="H19" s="97" t="s">
        <v>44</v>
      </c>
      <c r="I19" s="97" t="s">
        <v>70</v>
      </c>
      <c r="J19" s="51">
        <v>1439</v>
      </c>
      <c r="K19" s="95">
        <v>1463</v>
      </c>
      <c r="L19" s="5" t="s">
        <v>226</v>
      </c>
      <c r="M19" s="1"/>
    </row>
    <row r="20" spans="1:13" ht="14.45" customHeight="1" x14ac:dyDescent="0.25">
      <c r="A20" t="s">
        <v>439</v>
      </c>
      <c r="C20" s="63">
        <v>1721</v>
      </c>
      <c r="D20" s="97" t="s">
        <v>438</v>
      </c>
      <c r="E20" s="63" t="s">
        <v>4</v>
      </c>
      <c r="F20" s="97" t="s">
        <v>221</v>
      </c>
      <c r="G20" s="99" t="s">
        <v>130</v>
      </c>
      <c r="H20" s="101" t="s">
        <v>80</v>
      </c>
      <c r="I20" s="97" t="s">
        <v>70</v>
      </c>
      <c r="J20" s="51">
        <v>1439</v>
      </c>
      <c r="K20" s="95">
        <v>1463</v>
      </c>
      <c r="L20" s="5" t="s">
        <v>226</v>
      </c>
      <c r="M20" s="1"/>
    </row>
    <row r="21" spans="1:13" ht="14.45" customHeight="1" x14ac:dyDescent="0.25">
      <c r="A21" t="s">
        <v>437</v>
      </c>
      <c r="C21" s="63">
        <v>1715</v>
      </c>
      <c r="D21" s="97" t="s">
        <v>436</v>
      </c>
      <c r="E21" s="63" t="s">
        <v>4</v>
      </c>
      <c r="F21" s="97" t="s">
        <v>221</v>
      </c>
      <c r="G21" s="99" t="s">
        <v>130</v>
      </c>
      <c r="H21" s="97" t="s">
        <v>31</v>
      </c>
      <c r="I21" s="97" t="s">
        <v>70</v>
      </c>
      <c r="J21" s="51">
        <v>1439</v>
      </c>
      <c r="K21" s="95">
        <v>1463</v>
      </c>
      <c r="L21" s="5" t="s">
        <v>226</v>
      </c>
      <c r="M21" s="1"/>
    </row>
    <row r="22" spans="1:13" ht="14.45" customHeight="1" x14ac:dyDescent="0.25">
      <c r="A22" t="s">
        <v>178</v>
      </c>
      <c r="C22" s="63">
        <v>1556</v>
      </c>
      <c r="D22" s="97" t="s">
        <v>435</v>
      </c>
      <c r="E22" s="63" t="s">
        <v>43</v>
      </c>
      <c r="F22" s="63" t="s">
        <v>217</v>
      </c>
      <c r="G22" s="99" t="s">
        <v>135</v>
      </c>
      <c r="H22" s="97" t="s">
        <v>42</v>
      </c>
      <c r="I22" s="97" t="s">
        <v>70</v>
      </c>
      <c r="J22" s="95">
        <v>3343</v>
      </c>
      <c r="K22" s="95">
        <v>1449</v>
      </c>
      <c r="L22" s="5" t="s">
        <v>234</v>
      </c>
      <c r="M22" s="1"/>
    </row>
    <row r="23" spans="1:13" ht="14.45" customHeight="1" x14ac:dyDescent="0.25">
      <c r="A23" t="s">
        <v>192</v>
      </c>
      <c r="C23" s="63">
        <v>1900</v>
      </c>
      <c r="D23" s="109" t="s">
        <v>434</v>
      </c>
      <c r="E23" s="63" t="s">
        <v>43</v>
      </c>
      <c r="F23" s="63" t="s">
        <v>217</v>
      </c>
      <c r="G23" s="99" t="s">
        <v>135</v>
      </c>
      <c r="H23" s="97" t="s">
        <v>42</v>
      </c>
      <c r="I23" s="97" t="s">
        <v>70</v>
      </c>
      <c r="J23" s="95">
        <v>3343</v>
      </c>
      <c r="K23" s="95">
        <v>1449</v>
      </c>
      <c r="L23" s="5" t="s">
        <v>234</v>
      </c>
      <c r="M23" s="1"/>
    </row>
    <row r="24" spans="1:13" ht="14.45" customHeight="1" x14ac:dyDescent="0.25">
      <c r="A24" t="s">
        <v>175</v>
      </c>
      <c r="C24" s="63">
        <v>1947</v>
      </c>
      <c r="D24" s="109" t="s">
        <v>433</v>
      </c>
      <c r="E24" s="63" t="s">
        <v>43</v>
      </c>
      <c r="F24" s="63" t="s">
        <v>217</v>
      </c>
      <c r="G24" s="99" t="s">
        <v>135</v>
      </c>
      <c r="H24" s="97" t="s">
        <v>42</v>
      </c>
      <c r="I24" s="97" t="s">
        <v>70</v>
      </c>
      <c r="J24" s="95">
        <v>3343</v>
      </c>
      <c r="K24" s="95">
        <v>1449</v>
      </c>
      <c r="L24" s="5" t="s">
        <v>234</v>
      </c>
      <c r="M24" s="1"/>
    </row>
    <row r="25" spans="1:13" ht="14.45" customHeight="1" x14ac:dyDescent="0.25">
      <c r="A25" t="s">
        <v>81</v>
      </c>
      <c r="C25" s="63">
        <v>2090</v>
      </c>
      <c r="D25" s="109" t="s">
        <v>432</v>
      </c>
      <c r="E25" s="67" t="s">
        <v>43</v>
      </c>
      <c r="F25" s="63" t="s">
        <v>217</v>
      </c>
      <c r="G25" s="99" t="s">
        <v>135</v>
      </c>
      <c r="H25" s="97" t="s">
        <v>42</v>
      </c>
      <c r="I25" s="97" t="s">
        <v>70</v>
      </c>
      <c r="J25" s="95">
        <v>3343</v>
      </c>
      <c r="K25" s="95">
        <v>1449</v>
      </c>
      <c r="L25" s="5" t="s">
        <v>234</v>
      </c>
      <c r="M25" s="1"/>
    </row>
    <row r="26" spans="1:13" ht="14.45" customHeight="1" x14ac:dyDescent="0.25">
      <c r="A26" t="s">
        <v>10</v>
      </c>
      <c r="C26" s="63">
        <v>1519</v>
      </c>
      <c r="D26" s="97" t="s">
        <v>223</v>
      </c>
      <c r="E26" s="63" t="s">
        <v>12</v>
      </c>
      <c r="F26" s="63" t="s">
        <v>223</v>
      </c>
      <c r="G26" s="99" t="s">
        <v>130</v>
      </c>
      <c r="H26" s="97" t="s">
        <v>54</v>
      </c>
      <c r="I26" s="97" t="s">
        <v>70</v>
      </c>
      <c r="J26" s="95">
        <v>1519</v>
      </c>
      <c r="K26" s="95">
        <v>1463</v>
      </c>
      <c r="L26" s="5" t="s">
        <v>226</v>
      </c>
      <c r="M26" s="1"/>
    </row>
    <row r="27" spans="1:13" ht="14.45" customHeight="1" x14ac:dyDescent="0.25">
      <c r="A27" t="s">
        <v>184</v>
      </c>
      <c r="C27" s="63">
        <v>1564</v>
      </c>
      <c r="D27" s="97" t="s">
        <v>431</v>
      </c>
      <c r="E27" s="63" t="s">
        <v>12</v>
      </c>
      <c r="F27" s="63" t="s">
        <v>223</v>
      </c>
      <c r="G27" s="99" t="s">
        <v>130</v>
      </c>
      <c r="H27" s="97" t="s">
        <v>54</v>
      </c>
      <c r="I27" s="97" t="s">
        <v>70</v>
      </c>
      <c r="J27" s="95">
        <v>1519</v>
      </c>
      <c r="K27" s="95">
        <v>1463</v>
      </c>
      <c r="L27" s="5" t="s">
        <v>226</v>
      </c>
      <c r="M27" s="111"/>
    </row>
    <row r="28" spans="1:13" ht="14.45" customHeight="1" x14ac:dyDescent="0.25">
      <c r="A28" t="s">
        <v>430</v>
      </c>
      <c r="C28" s="63">
        <v>1691</v>
      </c>
      <c r="D28" s="97" t="s">
        <v>429</v>
      </c>
      <c r="E28" s="63" t="s">
        <v>12</v>
      </c>
      <c r="F28" s="63" t="s">
        <v>223</v>
      </c>
      <c r="G28" s="99" t="s">
        <v>130</v>
      </c>
      <c r="H28" s="97" t="s">
        <v>54</v>
      </c>
      <c r="I28" s="97" t="s">
        <v>70</v>
      </c>
      <c r="J28" s="95">
        <v>1519</v>
      </c>
      <c r="K28" s="95">
        <v>1463</v>
      </c>
      <c r="L28" s="5" t="s">
        <v>226</v>
      </c>
      <c r="M28" s="1"/>
    </row>
    <row r="29" spans="1:13" ht="14.45" customHeight="1" x14ac:dyDescent="0.25">
      <c r="A29" t="s">
        <v>23</v>
      </c>
      <c r="C29" s="63">
        <v>1734</v>
      </c>
      <c r="D29" s="97" t="s">
        <v>428</v>
      </c>
      <c r="E29" s="63" t="s">
        <v>12</v>
      </c>
      <c r="F29" s="63" t="s">
        <v>223</v>
      </c>
      <c r="G29" s="99" t="s">
        <v>130</v>
      </c>
      <c r="H29" s="97" t="s">
        <v>54</v>
      </c>
      <c r="I29" s="97" t="s">
        <v>70</v>
      </c>
      <c r="J29" s="95">
        <v>1519</v>
      </c>
      <c r="K29" s="95">
        <v>1463</v>
      </c>
      <c r="L29" s="5" t="s">
        <v>226</v>
      </c>
      <c r="M29" s="111"/>
    </row>
    <row r="30" spans="1:13" ht="14.45" customHeight="1" x14ac:dyDescent="0.25">
      <c r="A30" t="s">
        <v>83</v>
      </c>
      <c r="C30" s="63">
        <v>2051</v>
      </c>
      <c r="D30" s="97" t="s">
        <v>427</v>
      </c>
      <c r="E30" s="63" t="s">
        <v>12</v>
      </c>
      <c r="F30" s="63" t="s">
        <v>223</v>
      </c>
      <c r="G30" s="99" t="s">
        <v>130</v>
      </c>
      <c r="H30" s="97" t="s">
        <v>54</v>
      </c>
      <c r="I30" s="97" t="s">
        <v>70</v>
      </c>
      <c r="J30" s="95">
        <v>1519</v>
      </c>
      <c r="K30" s="95">
        <v>1463</v>
      </c>
      <c r="L30" s="5" t="s">
        <v>226</v>
      </c>
      <c r="M30" s="1"/>
    </row>
    <row r="31" spans="1:13" ht="14.45" customHeight="1" x14ac:dyDescent="0.25">
      <c r="A31" t="s">
        <v>186</v>
      </c>
      <c r="C31" s="63">
        <v>3277</v>
      </c>
      <c r="D31" s="95" t="s">
        <v>426</v>
      </c>
      <c r="E31" s="95" t="s">
        <v>12</v>
      </c>
      <c r="F31" s="97" t="s">
        <v>223</v>
      </c>
      <c r="G31" s="99" t="s">
        <v>130</v>
      </c>
      <c r="H31" s="97" t="s">
        <v>54</v>
      </c>
      <c r="I31" s="97" t="s">
        <v>70</v>
      </c>
      <c r="J31" s="95">
        <v>1519</v>
      </c>
      <c r="K31" s="95">
        <v>1463</v>
      </c>
      <c r="L31" s="5" t="s">
        <v>226</v>
      </c>
      <c r="M31" s="1"/>
    </row>
    <row r="32" spans="1:13" ht="14.45" customHeight="1" x14ac:dyDescent="0.25">
      <c r="A32" t="s">
        <v>69</v>
      </c>
      <c r="C32" s="63">
        <v>1603</v>
      </c>
      <c r="D32" s="97" t="s">
        <v>183</v>
      </c>
      <c r="E32" s="63" t="s">
        <v>182</v>
      </c>
      <c r="F32" s="63" t="s">
        <v>183</v>
      </c>
      <c r="G32" s="100" t="s">
        <v>482</v>
      </c>
      <c r="H32" s="97" t="s">
        <v>37</v>
      </c>
      <c r="I32" s="97" t="s">
        <v>118</v>
      </c>
      <c r="J32" s="95">
        <v>1603</v>
      </c>
      <c r="K32" s="100" t="s">
        <v>482</v>
      </c>
      <c r="L32" s="100" t="s">
        <v>234</v>
      </c>
      <c r="M32" s="1"/>
    </row>
    <row r="33" spans="1:13" ht="14.45" customHeight="1" x14ac:dyDescent="0.25">
      <c r="A33" t="s">
        <v>191</v>
      </c>
      <c r="C33" s="63">
        <v>1606</v>
      </c>
      <c r="D33" s="97" t="s">
        <v>211</v>
      </c>
      <c r="E33" s="63" t="s">
        <v>69</v>
      </c>
      <c r="F33" s="63" t="s">
        <v>211</v>
      </c>
      <c r="G33" s="63" t="s">
        <v>131</v>
      </c>
      <c r="H33" s="97" t="s">
        <v>236</v>
      </c>
      <c r="I33" s="97" t="s">
        <v>65</v>
      </c>
      <c r="J33" s="95">
        <v>1606</v>
      </c>
      <c r="K33" s="95">
        <v>1596</v>
      </c>
      <c r="L33" s="5" t="s">
        <v>226</v>
      </c>
      <c r="M33" s="111"/>
    </row>
    <row r="34" spans="1:13" ht="14.45" customHeight="1" x14ac:dyDescent="0.25">
      <c r="A34" t="s">
        <v>201</v>
      </c>
      <c r="C34" s="63">
        <v>2099</v>
      </c>
      <c r="D34" s="67" t="s">
        <v>425</v>
      </c>
      <c r="E34" s="63" t="s">
        <v>69</v>
      </c>
      <c r="F34" s="63" t="s">
        <v>211</v>
      </c>
      <c r="G34" s="63" t="s">
        <v>131</v>
      </c>
      <c r="H34" s="97" t="s">
        <v>236</v>
      </c>
      <c r="I34" s="97" t="s">
        <v>65</v>
      </c>
      <c r="J34" s="95">
        <v>1606</v>
      </c>
      <c r="K34" s="95">
        <v>1596</v>
      </c>
      <c r="L34" s="5" t="s">
        <v>226</v>
      </c>
      <c r="M34" s="111"/>
    </row>
    <row r="35" spans="1:13" ht="14.45" customHeight="1" x14ac:dyDescent="0.25">
      <c r="A35" t="s">
        <v>43</v>
      </c>
      <c r="C35" s="63">
        <v>1652</v>
      </c>
      <c r="D35" s="97" t="s">
        <v>424</v>
      </c>
      <c r="E35" s="63" t="s">
        <v>69</v>
      </c>
      <c r="F35" s="63" t="s">
        <v>211</v>
      </c>
      <c r="G35" s="63" t="s">
        <v>131</v>
      </c>
      <c r="H35" s="97" t="s">
        <v>236</v>
      </c>
      <c r="I35" s="97" t="s">
        <v>65</v>
      </c>
      <c r="J35" s="95">
        <v>1606</v>
      </c>
      <c r="K35" s="95">
        <v>1596</v>
      </c>
      <c r="L35" s="5" t="s">
        <v>226</v>
      </c>
      <c r="M35" s="1"/>
    </row>
    <row r="36" spans="1:13" ht="14.45" customHeight="1" x14ac:dyDescent="0.25">
      <c r="A36" t="s">
        <v>3</v>
      </c>
      <c r="C36" s="63">
        <v>3071</v>
      </c>
      <c r="D36" s="109" t="s">
        <v>423</v>
      </c>
      <c r="E36" s="63" t="s">
        <v>69</v>
      </c>
      <c r="F36" s="63" t="s">
        <v>211</v>
      </c>
      <c r="G36" s="97" t="s">
        <v>131</v>
      </c>
      <c r="H36" s="97" t="s">
        <v>236</v>
      </c>
      <c r="I36" s="97" t="s">
        <v>65</v>
      </c>
      <c r="J36" s="95">
        <v>1606</v>
      </c>
      <c r="K36" s="95">
        <v>1596</v>
      </c>
      <c r="L36" s="5" t="s">
        <v>226</v>
      </c>
      <c r="M36" s="1"/>
    </row>
    <row r="37" spans="1:13" ht="14.45" customHeight="1" x14ac:dyDescent="0.25">
      <c r="A37" t="s">
        <v>215</v>
      </c>
      <c r="C37" s="63">
        <v>1635</v>
      </c>
      <c r="D37" s="97" t="s">
        <v>212</v>
      </c>
      <c r="E37" s="63" t="s">
        <v>1</v>
      </c>
      <c r="F37" s="63" t="s">
        <v>212</v>
      </c>
      <c r="G37" s="99" t="s">
        <v>130</v>
      </c>
      <c r="H37" s="97" t="s">
        <v>74</v>
      </c>
      <c r="I37" s="97" t="s">
        <v>70</v>
      </c>
      <c r="J37" s="95">
        <v>1635</v>
      </c>
      <c r="K37" s="95">
        <v>1463</v>
      </c>
      <c r="L37" s="5" t="s">
        <v>226</v>
      </c>
      <c r="M37" s="1"/>
    </row>
    <row r="38" spans="1:13" ht="14.45" customHeight="1" x14ac:dyDescent="0.25">
      <c r="A38" t="s">
        <v>76</v>
      </c>
      <c r="C38" s="63">
        <v>1698</v>
      </c>
      <c r="D38" s="97" t="s">
        <v>422</v>
      </c>
      <c r="E38" s="63" t="s">
        <v>1</v>
      </c>
      <c r="F38" s="63" t="s">
        <v>212</v>
      </c>
      <c r="G38" s="99" t="s">
        <v>130</v>
      </c>
      <c r="H38" s="97" t="s">
        <v>74</v>
      </c>
      <c r="I38" s="97" t="s">
        <v>70</v>
      </c>
      <c r="J38" s="95">
        <v>1635</v>
      </c>
      <c r="K38" s="95">
        <v>1463</v>
      </c>
      <c r="L38" s="5" t="s">
        <v>226</v>
      </c>
      <c r="M38" s="1"/>
    </row>
    <row r="39" spans="1:13" ht="14.45" customHeight="1" x14ac:dyDescent="0.25">
      <c r="A39" t="s">
        <v>56</v>
      </c>
      <c r="C39" s="63">
        <v>1876</v>
      </c>
      <c r="D39" s="109" t="s">
        <v>421</v>
      </c>
      <c r="E39" s="63" t="s">
        <v>1</v>
      </c>
      <c r="F39" s="63" t="s">
        <v>212</v>
      </c>
      <c r="G39" s="99" t="s">
        <v>130</v>
      </c>
      <c r="H39" s="97" t="s">
        <v>74</v>
      </c>
      <c r="I39" s="97" t="s">
        <v>70</v>
      </c>
      <c r="J39" s="95">
        <v>1635</v>
      </c>
      <c r="K39" s="95">
        <v>1463</v>
      </c>
      <c r="L39" s="5" t="s">
        <v>226</v>
      </c>
      <c r="M39" s="1"/>
    </row>
    <row r="40" spans="1:13" ht="14.45" customHeight="1" x14ac:dyDescent="0.25">
      <c r="C40" s="63">
        <v>1639</v>
      </c>
      <c r="D40" s="97" t="s">
        <v>194</v>
      </c>
      <c r="E40" s="63" t="s">
        <v>3</v>
      </c>
      <c r="F40" s="63" t="s">
        <v>500</v>
      </c>
      <c r="G40" s="100" t="s">
        <v>482</v>
      </c>
      <c r="H40" s="95" t="s">
        <v>15</v>
      </c>
      <c r="I40" s="97" t="s">
        <v>118</v>
      </c>
      <c r="J40" s="95">
        <v>1639</v>
      </c>
      <c r="K40" s="100" t="s">
        <v>482</v>
      </c>
      <c r="L40" s="100" t="s">
        <v>234</v>
      </c>
      <c r="M40" s="111"/>
    </row>
    <row r="41" spans="1:13" ht="14.45" customHeight="1" x14ac:dyDescent="0.25">
      <c r="C41" s="63">
        <v>1640</v>
      </c>
      <c r="D41" s="97" t="s">
        <v>420</v>
      </c>
      <c r="E41" s="63" t="s">
        <v>3</v>
      </c>
      <c r="F41" s="63" t="s">
        <v>500</v>
      </c>
      <c r="G41" s="100" t="s">
        <v>482</v>
      </c>
      <c r="H41" s="95" t="s">
        <v>15</v>
      </c>
      <c r="I41" s="97" t="s">
        <v>118</v>
      </c>
      <c r="J41" s="95">
        <v>1639</v>
      </c>
      <c r="K41" s="100" t="s">
        <v>482</v>
      </c>
      <c r="L41" s="100" t="s">
        <v>234</v>
      </c>
      <c r="M41" s="1"/>
    </row>
    <row r="42" spans="1:13" ht="14.45" customHeight="1" x14ac:dyDescent="0.25">
      <c r="C42" s="63">
        <v>2057</v>
      </c>
      <c r="D42" s="97" t="s">
        <v>419</v>
      </c>
      <c r="E42" s="63" t="s">
        <v>3</v>
      </c>
      <c r="F42" s="63" t="s">
        <v>500</v>
      </c>
      <c r="G42" s="100" t="s">
        <v>482</v>
      </c>
      <c r="H42" s="95" t="s">
        <v>15</v>
      </c>
      <c r="I42" s="97" t="s">
        <v>118</v>
      </c>
      <c r="J42" s="95">
        <v>1639</v>
      </c>
      <c r="K42" s="100" t="s">
        <v>482</v>
      </c>
      <c r="L42" s="100" t="s">
        <v>234</v>
      </c>
      <c r="M42" s="1"/>
    </row>
    <row r="43" spans="1:13" ht="14.45" customHeight="1" x14ac:dyDescent="0.25">
      <c r="C43" s="63">
        <v>1674</v>
      </c>
      <c r="D43" s="97" t="s">
        <v>418</v>
      </c>
      <c r="E43" s="63" t="s">
        <v>3</v>
      </c>
      <c r="F43" s="63" t="s">
        <v>500</v>
      </c>
      <c r="G43" s="100" t="s">
        <v>482</v>
      </c>
      <c r="H43" s="95" t="s">
        <v>15</v>
      </c>
      <c r="I43" s="97" t="s">
        <v>118</v>
      </c>
      <c r="J43" s="95">
        <v>1639</v>
      </c>
      <c r="K43" s="100" t="s">
        <v>482</v>
      </c>
      <c r="L43" s="100" t="s">
        <v>234</v>
      </c>
      <c r="M43" s="1"/>
    </row>
    <row r="44" spans="1:13" ht="14.45" customHeight="1" x14ac:dyDescent="0.25">
      <c r="C44" s="63">
        <v>2058</v>
      </c>
      <c r="D44" s="117" t="s">
        <v>417</v>
      </c>
      <c r="E44" s="63" t="s">
        <v>3</v>
      </c>
      <c r="F44" s="63" t="s">
        <v>500</v>
      </c>
      <c r="G44" s="100" t="s">
        <v>482</v>
      </c>
      <c r="H44" s="95" t="s">
        <v>15</v>
      </c>
      <c r="I44" s="97" t="s">
        <v>118</v>
      </c>
      <c r="J44" s="95">
        <v>1639</v>
      </c>
      <c r="K44" s="100" t="s">
        <v>482</v>
      </c>
      <c r="L44" s="100" t="s">
        <v>234</v>
      </c>
      <c r="M44" s="1"/>
    </row>
    <row r="45" spans="1:13" ht="14.45" customHeight="1" x14ac:dyDescent="0.25">
      <c r="C45" s="63">
        <v>3171</v>
      </c>
      <c r="D45" s="95" t="s">
        <v>416</v>
      </c>
      <c r="E45" s="11" t="s">
        <v>19</v>
      </c>
      <c r="F45" s="62" t="s">
        <v>200</v>
      </c>
      <c r="G45" s="63" t="s">
        <v>131</v>
      </c>
      <c r="H45" s="97" t="s">
        <v>227</v>
      </c>
      <c r="I45" s="97" t="s">
        <v>65</v>
      </c>
      <c r="J45" s="96">
        <v>3392</v>
      </c>
      <c r="K45" s="95">
        <v>1596</v>
      </c>
      <c r="L45" s="5" t="s">
        <v>226</v>
      </c>
      <c r="M45" s="1"/>
    </row>
    <row r="46" spans="1:13" ht="14.45" customHeight="1" x14ac:dyDescent="0.25">
      <c r="C46" s="63">
        <v>1724</v>
      </c>
      <c r="D46" s="51" t="s">
        <v>415</v>
      </c>
      <c r="E46" s="11" t="s">
        <v>19</v>
      </c>
      <c r="F46" s="62" t="s">
        <v>200</v>
      </c>
      <c r="G46" s="63" t="s">
        <v>131</v>
      </c>
      <c r="H46" s="97" t="s">
        <v>227</v>
      </c>
      <c r="I46" s="97" t="s">
        <v>65</v>
      </c>
      <c r="J46" s="96">
        <v>3392</v>
      </c>
      <c r="K46" s="95">
        <v>1596</v>
      </c>
      <c r="L46" s="5" t="s">
        <v>226</v>
      </c>
      <c r="M46" s="111"/>
    </row>
    <row r="47" spans="1:13" ht="14.45" customHeight="1" x14ac:dyDescent="0.25">
      <c r="C47" s="63">
        <v>1745</v>
      </c>
      <c r="D47" s="97" t="s">
        <v>414</v>
      </c>
      <c r="E47" s="11" t="s">
        <v>19</v>
      </c>
      <c r="F47" s="62" t="s">
        <v>200</v>
      </c>
      <c r="G47" s="63" t="s">
        <v>131</v>
      </c>
      <c r="H47" s="97" t="s">
        <v>227</v>
      </c>
      <c r="I47" s="97" t="s">
        <v>65</v>
      </c>
      <c r="J47" s="96">
        <v>3392</v>
      </c>
      <c r="K47" s="95">
        <v>1596</v>
      </c>
      <c r="L47" s="5" t="s">
        <v>226</v>
      </c>
      <c r="M47" s="1"/>
    </row>
    <row r="48" spans="1:13" ht="14.45" customHeight="1" x14ac:dyDescent="0.25">
      <c r="C48" s="63">
        <v>1989</v>
      </c>
      <c r="D48" s="109" t="s">
        <v>413</v>
      </c>
      <c r="E48" s="11" t="s">
        <v>19</v>
      </c>
      <c r="F48" s="62" t="s">
        <v>200</v>
      </c>
      <c r="G48" s="97" t="s">
        <v>131</v>
      </c>
      <c r="H48" s="97" t="s">
        <v>227</v>
      </c>
      <c r="I48" s="97" t="s">
        <v>65</v>
      </c>
      <c r="J48" s="96">
        <v>3392</v>
      </c>
      <c r="K48" s="95">
        <v>1596</v>
      </c>
      <c r="L48" s="5" t="s">
        <v>226</v>
      </c>
      <c r="M48" s="1"/>
    </row>
    <row r="49" spans="3:13" ht="14.45" customHeight="1" x14ac:dyDescent="0.25">
      <c r="C49" s="63">
        <v>3151</v>
      </c>
      <c r="D49" s="95" t="s">
        <v>412</v>
      </c>
      <c r="E49" s="11" t="s">
        <v>19</v>
      </c>
      <c r="F49" s="62" t="s">
        <v>200</v>
      </c>
      <c r="G49" s="97" t="s">
        <v>131</v>
      </c>
      <c r="H49" s="97" t="s">
        <v>227</v>
      </c>
      <c r="I49" s="97" t="s">
        <v>65</v>
      </c>
      <c r="J49" s="96">
        <v>3392</v>
      </c>
      <c r="K49" s="95">
        <v>1596</v>
      </c>
      <c r="L49" s="5" t="s">
        <v>226</v>
      </c>
      <c r="M49" s="1"/>
    </row>
    <row r="50" spans="3:13" ht="14.45" customHeight="1" x14ac:dyDescent="0.25">
      <c r="C50" s="63">
        <v>1739</v>
      </c>
      <c r="D50" s="51" t="s">
        <v>193</v>
      </c>
      <c r="E50" s="95" t="s">
        <v>82</v>
      </c>
      <c r="F50" s="63" t="s">
        <v>193</v>
      </c>
      <c r="G50" s="100" t="s">
        <v>482</v>
      </c>
      <c r="H50" s="95" t="s">
        <v>15</v>
      </c>
      <c r="I50" s="97" t="s">
        <v>118</v>
      </c>
      <c r="J50" s="95">
        <v>1739</v>
      </c>
      <c r="K50" s="100" t="s">
        <v>482</v>
      </c>
      <c r="L50" s="100" t="s">
        <v>234</v>
      </c>
      <c r="M50" s="1"/>
    </row>
    <row r="51" spans="3:13" ht="14.45" customHeight="1" x14ac:dyDescent="0.25">
      <c r="C51" s="63">
        <v>1762</v>
      </c>
      <c r="D51" s="97" t="s">
        <v>179</v>
      </c>
      <c r="E51" s="63" t="s">
        <v>178</v>
      </c>
      <c r="F51" s="63" t="s">
        <v>179</v>
      </c>
      <c r="G51" s="63" t="s">
        <v>129</v>
      </c>
      <c r="H51" s="97" t="s">
        <v>58</v>
      </c>
      <c r="I51" s="97" t="s">
        <v>118</v>
      </c>
      <c r="J51" s="95">
        <v>1762</v>
      </c>
      <c r="K51" s="95">
        <v>1447</v>
      </c>
      <c r="L51" s="5" t="s">
        <v>226</v>
      </c>
      <c r="M51" s="111"/>
    </row>
    <row r="52" spans="3:13" ht="14.45" customHeight="1" x14ac:dyDescent="0.25">
      <c r="C52" s="63">
        <v>1764</v>
      </c>
      <c r="D52" s="97" t="s">
        <v>411</v>
      </c>
      <c r="E52" s="63" t="s">
        <v>178</v>
      </c>
      <c r="F52" s="63" t="s">
        <v>179</v>
      </c>
      <c r="G52" s="63" t="s">
        <v>129</v>
      </c>
      <c r="H52" s="97" t="s">
        <v>58</v>
      </c>
      <c r="I52" s="97" t="s">
        <v>118</v>
      </c>
      <c r="J52" s="95">
        <v>1762</v>
      </c>
      <c r="K52" s="95">
        <v>1447</v>
      </c>
      <c r="L52" s="5" t="s">
        <v>226</v>
      </c>
      <c r="M52" s="1"/>
    </row>
    <row r="53" spans="3:13" ht="14.45" customHeight="1" x14ac:dyDescent="0.25">
      <c r="C53" s="63">
        <v>1843</v>
      </c>
      <c r="D53" s="109" t="s">
        <v>410</v>
      </c>
      <c r="E53" s="63" t="s">
        <v>178</v>
      </c>
      <c r="F53" s="63" t="s">
        <v>179</v>
      </c>
      <c r="G53" s="97" t="s">
        <v>129</v>
      </c>
      <c r="H53" s="97" t="s">
        <v>58</v>
      </c>
      <c r="I53" s="97" t="s">
        <v>118</v>
      </c>
      <c r="J53" s="95">
        <v>1762</v>
      </c>
      <c r="K53" s="95">
        <v>1447</v>
      </c>
      <c r="L53" s="5" t="s">
        <v>226</v>
      </c>
      <c r="M53" s="1"/>
    </row>
    <row r="54" spans="3:13" ht="14.45" customHeight="1" x14ac:dyDescent="0.25">
      <c r="C54" s="63">
        <v>3174</v>
      </c>
      <c r="D54" s="95" t="s">
        <v>261</v>
      </c>
      <c r="E54" s="63" t="s">
        <v>178</v>
      </c>
      <c r="F54" s="63" t="s">
        <v>179</v>
      </c>
      <c r="G54" s="97" t="s">
        <v>129</v>
      </c>
      <c r="H54" s="97" t="s">
        <v>58</v>
      </c>
      <c r="I54" s="97" t="s">
        <v>118</v>
      </c>
      <c r="J54" s="95">
        <v>1762</v>
      </c>
      <c r="K54" s="95">
        <v>1447</v>
      </c>
      <c r="L54" s="5" t="s">
        <v>226</v>
      </c>
      <c r="M54" s="1"/>
    </row>
    <row r="55" spans="3:13" ht="14.45" customHeight="1" x14ac:dyDescent="0.25">
      <c r="C55" s="63">
        <v>1772</v>
      </c>
      <c r="D55" s="97" t="s">
        <v>127</v>
      </c>
      <c r="E55" s="63" t="s">
        <v>175</v>
      </c>
      <c r="F55" s="63" t="s">
        <v>127</v>
      </c>
      <c r="G55" s="63" t="s">
        <v>127</v>
      </c>
      <c r="H55" s="97" t="s">
        <v>119</v>
      </c>
      <c r="I55" s="97" t="s">
        <v>118</v>
      </c>
      <c r="J55" s="95">
        <v>1772</v>
      </c>
      <c r="K55" s="95">
        <v>1772</v>
      </c>
      <c r="L55" s="5" t="s">
        <v>226</v>
      </c>
      <c r="M55" s="1"/>
    </row>
    <row r="56" spans="3:13" ht="14.45" customHeight="1" x14ac:dyDescent="0.25">
      <c r="C56" s="63">
        <v>1821</v>
      </c>
      <c r="D56" s="109" t="s">
        <v>312</v>
      </c>
      <c r="E56" s="63" t="s">
        <v>175</v>
      </c>
      <c r="F56" s="63" t="s">
        <v>127</v>
      </c>
      <c r="G56" s="63" t="s">
        <v>127</v>
      </c>
      <c r="H56" s="97" t="s">
        <v>119</v>
      </c>
      <c r="I56" s="97" t="s">
        <v>118</v>
      </c>
      <c r="J56" s="95">
        <v>1772</v>
      </c>
      <c r="K56" s="95">
        <v>1772</v>
      </c>
      <c r="L56" s="5" t="s">
        <v>226</v>
      </c>
      <c r="M56" s="1"/>
    </row>
    <row r="57" spans="3:13" ht="14.45" customHeight="1" x14ac:dyDescent="0.25">
      <c r="C57" s="63">
        <v>2029</v>
      </c>
      <c r="D57" s="109" t="s">
        <v>409</v>
      </c>
      <c r="E57" s="63" t="s">
        <v>175</v>
      </c>
      <c r="F57" s="63" t="s">
        <v>127</v>
      </c>
      <c r="G57" s="63" t="s">
        <v>127</v>
      </c>
      <c r="H57" s="97" t="s">
        <v>119</v>
      </c>
      <c r="I57" s="97" t="s">
        <v>118</v>
      </c>
      <c r="J57" s="95">
        <v>1772</v>
      </c>
      <c r="K57" s="95">
        <v>1772</v>
      </c>
      <c r="L57" s="5" t="s">
        <v>226</v>
      </c>
      <c r="M57" s="1"/>
    </row>
    <row r="58" spans="3:13" ht="14.45" customHeight="1" x14ac:dyDescent="0.25">
      <c r="C58" s="63">
        <v>1990</v>
      </c>
      <c r="D58" s="109" t="s">
        <v>408</v>
      </c>
      <c r="E58" s="63" t="s">
        <v>175</v>
      </c>
      <c r="F58" s="63" t="s">
        <v>127</v>
      </c>
      <c r="G58" s="63" t="s">
        <v>127</v>
      </c>
      <c r="H58" s="97" t="s">
        <v>119</v>
      </c>
      <c r="I58" s="97" t="s">
        <v>118</v>
      </c>
      <c r="J58" s="95">
        <v>1772</v>
      </c>
      <c r="K58" s="95">
        <v>1772</v>
      </c>
      <c r="L58" s="5" t="s">
        <v>226</v>
      </c>
      <c r="M58" s="1"/>
    </row>
    <row r="59" spans="3:13" ht="14.45" customHeight="1" x14ac:dyDescent="0.25">
      <c r="C59" s="63">
        <v>3131</v>
      </c>
      <c r="D59" s="95" t="s">
        <v>407</v>
      </c>
      <c r="E59" s="63" t="s">
        <v>175</v>
      </c>
      <c r="F59" s="63" t="s">
        <v>127</v>
      </c>
      <c r="G59" s="63" t="s">
        <v>127</v>
      </c>
      <c r="H59" s="97" t="s">
        <v>119</v>
      </c>
      <c r="I59" s="97" t="s">
        <v>118</v>
      </c>
      <c r="J59" s="95">
        <v>1772</v>
      </c>
      <c r="K59" s="95">
        <v>1772</v>
      </c>
      <c r="L59" s="5" t="s">
        <v>226</v>
      </c>
      <c r="M59" s="1"/>
    </row>
    <row r="60" spans="3:13" ht="14.45" customHeight="1" x14ac:dyDescent="0.25">
      <c r="C60" s="63">
        <v>3041</v>
      </c>
      <c r="D60" s="97" t="s">
        <v>406</v>
      </c>
      <c r="E60" s="63" t="s">
        <v>191</v>
      </c>
      <c r="F60" s="63" t="s">
        <v>472</v>
      </c>
      <c r="G60" s="101" t="s">
        <v>655</v>
      </c>
      <c r="H60" s="97" t="s">
        <v>400</v>
      </c>
      <c r="I60" s="97" t="s">
        <v>118</v>
      </c>
      <c r="J60" s="63">
        <v>3424</v>
      </c>
      <c r="K60" s="101">
        <v>3490</v>
      </c>
      <c r="L60" s="100" t="s">
        <v>226</v>
      </c>
      <c r="M60" s="1"/>
    </row>
    <row r="61" spans="3:13" ht="14.45" customHeight="1" x14ac:dyDescent="0.25">
      <c r="C61" s="63">
        <v>1797</v>
      </c>
      <c r="D61" s="97" t="s">
        <v>405</v>
      </c>
      <c r="E61" s="63" t="s">
        <v>191</v>
      </c>
      <c r="F61" s="63" t="s">
        <v>472</v>
      </c>
      <c r="G61" s="101" t="s">
        <v>655</v>
      </c>
      <c r="H61" s="97" t="s">
        <v>400</v>
      </c>
      <c r="I61" s="97" t="s">
        <v>118</v>
      </c>
      <c r="J61" s="63">
        <v>3424</v>
      </c>
      <c r="K61" s="101">
        <v>3490</v>
      </c>
      <c r="L61" s="100" t="s">
        <v>226</v>
      </c>
      <c r="M61" s="1"/>
    </row>
    <row r="62" spans="3:13" ht="14.45" customHeight="1" x14ac:dyDescent="0.25">
      <c r="C62" s="63">
        <v>1798</v>
      </c>
      <c r="D62" s="67" t="s">
        <v>404</v>
      </c>
      <c r="E62" s="63" t="s">
        <v>191</v>
      </c>
      <c r="F62" s="63" t="s">
        <v>472</v>
      </c>
      <c r="G62" s="101" t="s">
        <v>655</v>
      </c>
      <c r="H62" s="97" t="s">
        <v>400</v>
      </c>
      <c r="I62" s="97" t="s">
        <v>118</v>
      </c>
      <c r="J62" s="63">
        <v>3424</v>
      </c>
      <c r="K62" s="101">
        <v>3490</v>
      </c>
      <c r="L62" s="100" t="s">
        <v>226</v>
      </c>
      <c r="M62" s="1"/>
    </row>
    <row r="63" spans="3:13" ht="14.45" customHeight="1" x14ac:dyDescent="0.25">
      <c r="C63" s="63">
        <v>1848</v>
      </c>
      <c r="D63" s="109" t="s">
        <v>403</v>
      </c>
      <c r="E63" s="63" t="s">
        <v>191</v>
      </c>
      <c r="F63" s="63" t="s">
        <v>472</v>
      </c>
      <c r="G63" s="101" t="s">
        <v>655</v>
      </c>
      <c r="H63" s="97" t="s">
        <v>400</v>
      </c>
      <c r="I63" s="97" t="s">
        <v>118</v>
      </c>
      <c r="J63" s="63">
        <v>3424</v>
      </c>
      <c r="K63" s="101">
        <v>3490</v>
      </c>
      <c r="L63" s="100" t="s">
        <v>226</v>
      </c>
      <c r="M63" s="1"/>
    </row>
    <row r="64" spans="3:13" ht="14.45" customHeight="1" x14ac:dyDescent="0.25">
      <c r="C64" s="63">
        <v>3107</v>
      </c>
      <c r="D64" s="95" t="s">
        <v>402</v>
      </c>
      <c r="E64" s="63" t="s">
        <v>191</v>
      </c>
      <c r="F64" s="63" t="s">
        <v>472</v>
      </c>
      <c r="G64" s="101" t="s">
        <v>655</v>
      </c>
      <c r="H64" s="97" t="s">
        <v>400</v>
      </c>
      <c r="I64" s="97" t="s">
        <v>118</v>
      </c>
      <c r="J64" s="63">
        <v>3424</v>
      </c>
      <c r="K64" s="101">
        <v>3490</v>
      </c>
      <c r="L64" s="100" t="s">
        <v>226</v>
      </c>
      <c r="M64" s="1"/>
    </row>
    <row r="65" spans="3:13" ht="14.45" customHeight="1" x14ac:dyDescent="0.25">
      <c r="C65" s="63">
        <v>3188</v>
      </c>
      <c r="D65" s="95" t="s">
        <v>401</v>
      </c>
      <c r="E65" s="95" t="s">
        <v>191</v>
      </c>
      <c r="F65" s="63" t="s">
        <v>472</v>
      </c>
      <c r="G65" s="101" t="s">
        <v>655</v>
      </c>
      <c r="H65" s="97" t="s">
        <v>400</v>
      </c>
      <c r="I65" s="97" t="s">
        <v>118</v>
      </c>
      <c r="J65" s="63">
        <v>3424</v>
      </c>
      <c r="K65" s="101">
        <v>3490</v>
      </c>
      <c r="L65" s="100" t="s">
        <v>226</v>
      </c>
      <c r="M65" s="1"/>
    </row>
    <row r="66" spans="3:13" ht="14.45" customHeight="1" x14ac:dyDescent="0.25">
      <c r="C66" s="63">
        <v>2079</v>
      </c>
      <c r="D66" s="97" t="s">
        <v>399</v>
      </c>
      <c r="E66" s="63" t="s">
        <v>201</v>
      </c>
      <c r="F66" s="63" t="s">
        <v>202</v>
      </c>
      <c r="G66" s="63" t="s">
        <v>131</v>
      </c>
      <c r="H66" s="97" t="s">
        <v>227</v>
      </c>
      <c r="I66" s="97" t="s">
        <v>65</v>
      </c>
      <c r="J66" s="95">
        <v>1827</v>
      </c>
      <c r="K66" s="95">
        <v>1596</v>
      </c>
      <c r="L66" s="5" t="s">
        <v>226</v>
      </c>
      <c r="M66" s="1"/>
    </row>
    <row r="67" spans="3:13" ht="14.45" customHeight="1" x14ac:dyDescent="0.25">
      <c r="C67" s="63">
        <v>1893</v>
      </c>
      <c r="D67" s="109" t="s">
        <v>398</v>
      </c>
      <c r="E67" s="63" t="s">
        <v>201</v>
      </c>
      <c r="F67" s="63" t="s">
        <v>202</v>
      </c>
      <c r="G67" s="63" t="s">
        <v>131</v>
      </c>
      <c r="H67" s="97" t="s">
        <v>227</v>
      </c>
      <c r="I67" s="97" t="s">
        <v>65</v>
      </c>
      <c r="J67" s="95">
        <v>1827</v>
      </c>
      <c r="K67" s="95">
        <v>1596</v>
      </c>
      <c r="L67" s="5" t="s">
        <v>226</v>
      </c>
      <c r="M67" s="111"/>
    </row>
    <row r="68" spans="3:13" ht="14.45" customHeight="1" x14ac:dyDescent="0.25">
      <c r="C68" s="63">
        <v>1827</v>
      </c>
      <c r="D68" s="109" t="s">
        <v>202</v>
      </c>
      <c r="E68" s="63" t="s">
        <v>201</v>
      </c>
      <c r="F68" s="63" t="s">
        <v>202</v>
      </c>
      <c r="G68" s="63" t="s">
        <v>131</v>
      </c>
      <c r="H68" s="97" t="s">
        <v>227</v>
      </c>
      <c r="I68" s="97" t="s">
        <v>65</v>
      </c>
      <c r="J68" s="95">
        <v>1827</v>
      </c>
      <c r="K68" s="95">
        <v>1596</v>
      </c>
      <c r="L68" s="5" t="s">
        <v>226</v>
      </c>
      <c r="M68" s="1"/>
    </row>
    <row r="69" spans="3:13" ht="14.45" customHeight="1" x14ac:dyDescent="0.25">
      <c r="C69" s="63">
        <v>1944</v>
      </c>
      <c r="D69" s="109" t="s">
        <v>397</v>
      </c>
      <c r="E69" s="63" t="s">
        <v>201</v>
      </c>
      <c r="F69" s="63" t="s">
        <v>202</v>
      </c>
      <c r="G69" s="63" t="s">
        <v>131</v>
      </c>
      <c r="H69" s="97" t="s">
        <v>227</v>
      </c>
      <c r="I69" s="97" t="s">
        <v>65</v>
      </c>
      <c r="J69" s="95">
        <v>1827</v>
      </c>
      <c r="K69" s="95">
        <v>1596</v>
      </c>
      <c r="L69" s="5" t="s">
        <v>226</v>
      </c>
      <c r="M69" s="111"/>
    </row>
    <row r="70" spans="3:13" x14ac:dyDescent="0.25">
      <c r="C70" s="63">
        <v>1873</v>
      </c>
      <c r="D70" s="109" t="s">
        <v>396</v>
      </c>
      <c r="E70" s="63" t="s">
        <v>60</v>
      </c>
      <c r="F70" s="63" t="s">
        <v>208</v>
      </c>
      <c r="G70" s="63" t="s">
        <v>132</v>
      </c>
      <c r="H70" s="97" t="s">
        <v>31</v>
      </c>
      <c r="I70" s="67" t="s">
        <v>65</v>
      </c>
      <c r="J70" s="95">
        <v>1835</v>
      </c>
      <c r="K70" s="95">
        <v>1766</v>
      </c>
      <c r="L70" s="5" t="s">
        <v>234</v>
      </c>
      <c r="M70" s="1"/>
    </row>
    <row r="71" spans="3:13" x14ac:dyDescent="0.25">
      <c r="C71" s="63">
        <v>3105</v>
      </c>
      <c r="D71" s="95" t="s">
        <v>395</v>
      </c>
      <c r="E71" s="63" t="s">
        <v>60</v>
      </c>
      <c r="F71" s="63" t="s">
        <v>208</v>
      </c>
      <c r="G71" s="63" t="s">
        <v>132</v>
      </c>
      <c r="H71" s="97" t="s">
        <v>31</v>
      </c>
      <c r="I71" s="67" t="s">
        <v>65</v>
      </c>
      <c r="J71" s="95">
        <v>1835</v>
      </c>
      <c r="K71" s="95">
        <v>1766</v>
      </c>
      <c r="L71" s="5" t="s">
        <v>234</v>
      </c>
      <c r="M71" s="1"/>
    </row>
    <row r="72" spans="3:13" x14ac:dyDescent="0.25">
      <c r="C72" s="63">
        <v>3002</v>
      </c>
      <c r="D72" s="51" t="s">
        <v>394</v>
      </c>
      <c r="E72" s="63" t="s">
        <v>60</v>
      </c>
      <c r="F72" s="63" t="s">
        <v>208</v>
      </c>
      <c r="G72" s="63" t="s">
        <v>132</v>
      </c>
      <c r="H72" s="97" t="s">
        <v>31</v>
      </c>
      <c r="I72" s="67" t="s">
        <v>65</v>
      </c>
      <c r="J72" s="95">
        <v>1835</v>
      </c>
      <c r="K72" s="95">
        <v>1766</v>
      </c>
      <c r="L72" s="5" t="s">
        <v>234</v>
      </c>
      <c r="M72" s="1"/>
    </row>
    <row r="73" spans="3:13" x14ac:dyDescent="0.25">
      <c r="C73" s="63">
        <v>3185</v>
      </c>
      <c r="D73" s="51" t="s">
        <v>393</v>
      </c>
      <c r="E73" s="63" t="s">
        <v>60</v>
      </c>
      <c r="F73" s="63" t="s">
        <v>208</v>
      </c>
      <c r="G73" s="63" t="s">
        <v>132</v>
      </c>
      <c r="H73" s="97" t="s">
        <v>31</v>
      </c>
      <c r="I73" s="67" t="s">
        <v>65</v>
      </c>
      <c r="J73" s="95">
        <v>1835</v>
      </c>
      <c r="K73" s="95">
        <v>1766</v>
      </c>
      <c r="L73" s="5" t="s">
        <v>234</v>
      </c>
      <c r="M73" s="1"/>
    </row>
    <row r="74" spans="3:13" ht="14.45" customHeight="1" x14ac:dyDescent="0.25">
      <c r="C74" s="63">
        <v>1851</v>
      </c>
      <c r="D74" s="109" t="s">
        <v>392</v>
      </c>
      <c r="E74" s="63" t="s">
        <v>43</v>
      </c>
      <c r="F74" s="63" t="s">
        <v>217</v>
      </c>
      <c r="G74" s="99" t="s">
        <v>135</v>
      </c>
      <c r="H74" s="97" t="s">
        <v>42</v>
      </c>
      <c r="I74" s="97" t="s">
        <v>70</v>
      </c>
      <c r="J74" s="95">
        <v>3343</v>
      </c>
      <c r="K74" s="95">
        <v>1449</v>
      </c>
      <c r="L74" s="5" t="s">
        <v>234</v>
      </c>
      <c r="M74" s="1"/>
    </row>
    <row r="75" spans="3:13" ht="14.45" customHeight="1" x14ac:dyDescent="0.25">
      <c r="C75" s="63">
        <v>1859</v>
      </c>
      <c r="D75" s="109" t="s">
        <v>391</v>
      </c>
      <c r="E75" s="63" t="s">
        <v>215</v>
      </c>
      <c r="F75" s="63" t="s">
        <v>216</v>
      </c>
      <c r="G75" s="99" t="s">
        <v>135</v>
      </c>
      <c r="H75" s="97" t="s">
        <v>42</v>
      </c>
      <c r="I75" s="97" t="s">
        <v>70</v>
      </c>
      <c r="J75" s="63" t="s">
        <v>216</v>
      </c>
      <c r="K75" s="95">
        <v>1449</v>
      </c>
      <c r="L75" s="5" t="s">
        <v>234</v>
      </c>
      <c r="M75" s="111"/>
    </row>
    <row r="76" spans="3:13" ht="14.45" customHeight="1" x14ac:dyDescent="0.25">
      <c r="C76" s="63">
        <v>1776</v>
      </c>
      <c r="D76" s="109" t="s">
        <v>390</v>
      </c>
      <c r="E76" s="63" t="s">
        <v>8</v>
      </c>
      <c r="F76" s="63" t="s">
        <v>196</v>
      </c>
      <c r="G76" s="97" t="s">
        <v>133</v>
      </c>
      <c r="H76" s="97" t="s">
        <v>31</v>
      </c>
      <c r="I76" s="67" t="s">
        <v>34</v>
      </c>
      <c r="J76" s="95">
        <v>1885</v>
      </c>
      <c r="K76" s="95">
        <v>1140</v>
      </c>
      <c r="L76" s="5" t="s">
        <v>234</v>
      </c>
      <c r="M76" s="1"/>
    </row>
    <row r="77" spans="3:13" ht="14.45" customHeight="1" x14ac:dyDescent="0.25">
      <c r="C77" s="63">
        <v>1976</v>
      </c>
      <c r="D77" s="109" t="s">
        <v>389</v>
      </c>
      <c r="E77" s="63" t="s">
        <v>8</v>
      </c>
      <c r="F77" s="63" t="s">
        <v>196</v>
      </c>
      <c r="G77" s="97" t="s">
        <v>133</v>
      </c>
      <c r="H77" s="97" t="s">
        <v>31</v>
      </c>
      <c r="I77" s="67" t="s">
        <v>34</v>
      </c>
      <c r="J77" s="95">
        <v>1885</v>
      </c>
      <c r="K77" s="95">
        <v>1140</v>
      </c>
      <c r="L77" s="5" t="s">
        <v>234</v>
      </c>
      <c r="M77" s="1"/>
    </row>
    <row r="78" spans="3:13" ht="14.45" customHeight="1" x14ac:dyDescent="0.25">
      <c r="C78" s="63">
        <v>3018</v>
      </c>
      <c r="D78" s="109" t="s">
        <v>388</v>
      </c>
      <c r="E78" s="63" t="s">
        <v>8</v>
      </c>
      <c r="F78" s="63" t="s">
        <v>196</v>
      </c>
      <c r="G78" s="97" t="s">
        <v>133</v>
      </c>
      <c r="H78" s="97" t="s">
        <v>31</v>
      </c>
      <c r="I78" s="67" t="s">
        <v>34</v>
      </c>
      <c r="J78" s="95">
        <v>1885</v>
      </c>
      <c r="K78" s="95">
        <v>1140</v>
      </c>
      <c r="L78" s="5" t="s">
        <v>234</v>
      </c>
      <c r="M78" s="1"/>
    </row>
    <row r="79" spans="3:13" ht="14.45" customHeight="1" x14ac:dyDescent="0.25">
      <c r="C79" s="63">
        <v>1885</v>
      </c>
      <c r="D79" s="109" t="s">
        <v>196</v>
      </c>
      <c r="E79" s="63" t="s">
        <v>8</v>
      </c>
      <c r="F79" s="63" t="s">
        <v>196</v>
      </c>
      <c r="G79" s="97" t="s">
        <v>133</v>
      </c>
      <c r="H79" s="97" t="s">
        <v>31</v>
      </c>
      <c r="I79" s="67" t="s">
        <v>34</v>
      </c>
      <c r="J79" s="95">
        <v>1885</v>
      </c>
      <c r="K79" s="95">
        <v>1140</v>
      </c>
      <c r="L79" s="5" t="s">
        <v>234</v>
      </c>
      <c r="M79" s="1"/>
    </row>
    <row r="80" spans="3:13" ht="14.45" customHeight="1" x14ac:dyDescent="0.25">
      <c r="C80" s="63">
        <v>1957</v>
      </c>
      <c r="D80" s="109" t="s">
        <v>387</v>
      </c>
      <c r="E80" s="63" t="s">
        <v>8</v>
      </c>
      <c r="F80" s="63" t="s">
        <v>196</v>
      </c>
      <c r="G80" s="97" t="s">
        <v>133</v>
      </c>
      <c r="H80" s="97" t="s">
        <v>31</v>
      </c>
      <c r="I80" s="67" t="s">
        <v>34</v>
      </c>
      <c r="J80" s="95">
        <v>1885</v>
      </c>
      <c r="K80" s="95">
        <v>1140</v>
      </c>
      <c r="L80" s="5" t="s">
        <v>234</v>
      </c>
      <c r="M80" s="1"/>
    </row>
    <row r="81" spans="3:13" ht="14.45" customHeight="1" x14ac:dyDescent="0.25">
      <c r="C81" s="63">
        <v>3005</v>
      </c>
      <c r="D81" s="109" t="s">
        <v>386</v>
      </c>
      <c r="E81" s="63" t="s">
        <v>8</v>
      </c>
      <c r="F81" s="63" t="s">
        <v>196</v>
      </c>
      <c r="G81" s="97" t="s">
        <v>133</v>
      </c>
      <c r="H81" s="97" t="s">
        <v>31</v>
      </c>
      <c r="I81" s="67" t="s">
        <v>34</v>
      </c>
      <c r="J81" s="95">
        <v>1885</v>
      </c>
      <c r="K81" s="95">
        <v>1140</v>
      </c>
      <c r="L81" s="5" t="s">
        <v>234</v>
      </c>
      <c r="M81" s="1"/>
    </row>
    <row r="82" spans="3:13" ht="14.45" customHeight="1" x14ac:dyDescent="0.25">
      <c r="C82" s="63">
        <v>1890</v>
      </c>
      <c r="D82" s="109" t="s">
        <v>385</v>
      </c>
      <c r="E82" s="63" t="s">
        <v>8</v>
      </c>
      <c r="F82" s="63" t="s">
        <v>195</v>
      </c>
      <c r="G82" s="97" t="s">
        <v>133</v>
      </c>
      <c r="H82" s="97" t="s">
        <v>31</v>
      </c>
      <c r="I82" s="67" t="s">
        <v>34</v>
      </c>
      <c r="J82" s="95">
        <v>1889</v>
      </c>
      <c r="K82" s="95">
        <v>1140</v>
      </c>
      <c r="L82" s="5" t="s">
        <v>234</v>
      </c>
      <c r="M82" s="1"/>
    </row>
    <row r="83" spans="3:13" ht="14.45" customHeight="1" x14ac:dyDescent="0.25">
      <c r="C83" s="63">
        <v>1889</v>
      </c>
      <c r="D83" s="109" t="s">
        <v>195</v>
      </c>
      <c r="E83" s="63" t="s">
        <v>8</v>
      </c>
      <c r="F83" s="63" t="s">
        <v>195</v>
      </c>
      <c r="G83" s="97" t="s">
        <v>133</v>
      </c>
      <c r="H83" s="97" t="s">
        <v>31</v>
      </c>
      <c r="I83" s="67" t="s">
        <v>34</v>
      </c>
      <c r="J83" s="95">
        <v>1889</v>
      </c>
      <c r="K83" s="95">
        <v>1140</v>
      </c>
      <c r="L83" s="5" t="s">
        <v>234</v>
      </c>
      <c r="M83" s="1"/>
    </row>
    <row r="84" spans="3:13" ht="14.45" customHeight="1" x14ac:dyDescent="0.25">
      <c r="C84" s="63">
        <v>1964</v>
      </c>
      <c r="D84" s="109" t="s">
        <v>384</v>
      </c>
      <c r="E84" s="63" t="s">
        <v>8</v>
      </c>
      <c r="F84" s="63" t="s">
        <v>195</v>
      </c>
      <c r="G84" s="97" t="s">
        <v>133</v>
      </c>
      <c r="H84" s="97" t="s">
        <v>31</v>
      </c>
      <c r="I84" s="67" t="s">
        <v>34</v>
      </c>
      <c r="J84" s="95">
        <v>1889</v>
      </c>
      <c r="K84" s="95">
        <v>1140</v>
      </c>
      <c r="L84" s="5" t="s">
        <v>234</v>
      </c>
      <c r="M84" s="1"/>
    </row>
    <row r="85" spans="3:13" ht="14.45" customHeight="1" x14ac:dyDescent="0.25">
      <c r="C85" s="63">
        <v>3094</v>
      </c>
      <c r="D85" s="95" t="s">
        <v>383</v>
      </c>
      <c r="E85" s="63" t="s">
        <v>8</v>
      </c>
      <c r="F85" s="63" t="s">
        <v>195</v>
      </c>
      <c r="G85" s="97" t="s">
        <v>133</v>
      </c>
      <c r="H85" s="97" t="s">
        <v>31</v>
      </c>
      <c r="I85" s="67" t="s">
        <v>34</v>
      </c>
      <c r="J85" s="95">
        <v>1889</v>
      </c>
      <c r="K85" s="95">
        <v>1140</v>
      </c>
      <c r="L85" s="5" t="s">
        <v>234</v>
      </c>
      <c r="M85" s="111"/>
    </row>
    <row r="86" spans="3:13" ht="14.45" customHeight="1" x14ac:dyDescent="0.25">
      <c r="C86" s="63">
        <v>3102</v>
      </c>
      <c r="D86" s="95" t="s">
        <v>382</v>
      </c>
      <c r="E86" s="63" t="s">
        <v>8</v>
      </c>
      <c r="F86" s="63" t="s">
        <v>195</v>
      </c>
      <c r="G86" s="97" t="s">
        <v>133</v>
      </c>
      <c r="H86" s="97" t="s">
        <v>31</v>
      </c>
      <c r="I86" s="67" t="s">
        <v>34</v>
      </c>
      <c r="J86" s="95">
        <v>1889</v>
      </c>
      <c r="K86" s="95">
        <v>1140</v>
      </c>
      <c r="L86" s="5" t="s">
        <v>234</v>
      </c>
      <c r="M86" s="111"/>
    </row>
    <row r="87" spans="3:13" x14ac:dyDescent="0.25">
      <c r="C87" s="63">
        <v>1921</v>
      </c>
      <c r="D87" s="97" t="s">
        <v>381</v>
      </c>
      <c r="E87" s="63" t="s">
        <v>60</v>
      </c>
      <c r="F87" s="97" t="s">
        <v>210</v>
      </c>
      <c r="G87" s="63" t="s">
        <v>132</v>
      </c>
      <c r="H87" s="97" t="s">
        <v>31</v>
      </c>
      <c r="I87" s="67" t="s">
        <v>65</v>
      </c>
      <c r="J87" s="95">
        <v>1930</v>
      </c>
      <c r="K87" s="95">
        <v>1766</v>
      </c>
      <c r="L87" s="5" t="s">
        <v>234</v>
      </c>
      <c r="M87" s="1"/>
    </row>
    <row r="88" spans="3:13" x14ac:dyDescent="0.25">
      <c r="C88" s="63">
        <v>2025</v>
      </c>
      <c r="D88" s="97" t="s">
        <v>380</v>
      </c>
      <c r="E88" s="63" t="s">
        <v>60</v>
      </c>
      <c r="F88" s="63" t="s">
        <v>210</v>
      </c>
      <c r="G88" s="63" t="s">
        <v>132</v>
      </c>
      <c r="H88" s="97" t="s">
        <v>31</v>
      </c>
      <c r="I88" s="67" t="s">
        <v>65</v>
      </c>
      <c r="J88" s="95">
        <v>1930</v>
      </c>
      <c r="K88" s="95">
        <v>1766</v>
      </c>
      <c r="L88" s="5" t="s">
        <v>234</v>
      </c>
      <c r="M88" s="1"/>
    </row>
    <row r="89" spans="3:13" x14ac:dyDescent="0.25">
      <c r="C89" s="63">
        <v>1951</v>
      </c>
      <c r="D89" s="109" t="s">
        <v>379</v>
      </c>
      <c r="E89" s="63" t="s">
        <v>60</v>
      </c>
      <c r="F89" s="63" t="s">
        <v>210</v>
      </c>
      <c r="G89" s="63" t="s">
        <v>132</v>
      </c>
      <c r="H89" s="97" t="s">
        <v>31</v>
      </c>
      <c r="I89" s="67" t="s">
        <v>65</v>
      </c>
      <c r="J89" s="95">
        <v>1930</v>
      </c>
      <c r="K89" s="95">
        <v>1766</v>
      </c>
      <c r="L89" s="5" t="s">
        <v>234</v>
      </c>
      <c r="M89" s="1"/>
    </row>
    <row r="90" spans="3:13" x14ac:dyDescent="0.25">
      <c r="C90" s="63">
        <v>1930</v>
      </c>
      <c r="D90" s="109" t="s">
        <v>210</v>
      </c>
      <c r="E90" s="63" t="s">
        <v>60</v>
      </c>
      <c r="F90" s="63" t="s">
        <v>210</v>
      </c>
      <c r="G90" s="63" t="s">
        <v>132</v>
      </c>
      <c r="H90" s="97" t="s">
        <v>31</v>
      </c>
      <c r="I90" s="67" t="s">
        <v>65</v>
      </c>
      <c r="J90" s="95">
        <v>1930</v>
      </c>
      <c r="K90" s="95">
        <v>1766</v>
      </c>
      <c r="L90" s="5" t="s">
        <v>234</v>
      </c>
      <c r="M90" s="1"/>
    </row>
    <row r="91" spans="3:13" x14ac:dyDescent="0.25">
      <c r="C91" s="63">
        <v>1961</v>
      </c>
      <c r="D91" s="109" t="s">
        <v>378</v>
      </c>
      <c r="E91" s="63" t="s">
        <v>60</v>
      </c>
      <c r="F91" s="63" t="s">
        <v>210</v>
      </c>
      <c r="G91" s="63" t="s">
        <v>132</v>
      </c>
      <c r="H91" s="97" t="s">
        <v>31</v>
      </c>
      <c r="I91" s="67" t="s">
        <v>65</v>
      </c>
      <c r="J91" s="95">
        <v>1930</v>
      </c>
      <c r="K91" s="95">
        <v>1766</v>
      </c>
      <c r="L91" s="5" t="s">
        <v>234</v>
      </c>
      <c r="M91" s="1"/>
    </row>
    <row r="92" spans="3:13" x14ac:dyDescent="0.25">
      <c r="C92" s="63">
        <v>3200</v>
      </c>
      <c r="D92" s="95" t="s">
        <v>377</v>
      </c>
      <c r="E92" s="63" t="s">
        <v>60</v>
      </c>
      <c r="F92" s="51" t="s">
        <v>210</v>
      </c>
      <c r="G92" s="63" t="s">
        <v>132</v>
      </c>
      <c r="H92" s="97" t="s">
        <v>31</v>
      </c>
      <c r="I92" s="67" t="s">
        <v>65</v>
      </c>
      <c r="J92" s="95">
        <v>1930</v>
      </c>
      <c r="K92" s="95">
        <v>1766</v>
      </c>
      <c r="L92" s="5" t="s">
        <v>234</v>
      </c>
      <c r="M92" s="1"/>
    </row>
    <row r="93" spans="3:13" ht="14.45" customHeight="1" x14ac:dyDescent="0.25">
      <c r="C93" s="63">
        <v>1968</v>
      </c>
      <c r="D93" s="97" t="s">
        <v>376</v>
      </c>
      <c r="E93" s="63" t="s">
        <v>13</v>
      </c>
      <c r="F93" s="122" t="s">
        <v>163</v>
      </c>
      <c r="G93" s="51" t="s">
        <v>126</v>
      </c>
      <c r="H93" s="97" t="s">
        <v>32</v>
      </c>
      <c r="I93" s="97" t="s">
        <v>84</v>
      </c>
      <c r="J93" s="122">
        <v>3353</v>
      </c>
      <c r="K93" s="95">
        <v>3052</v>
      </c>
      <c r="L93" s="5" t="s">
        <v>232</v>
      </c>
      <c r="M93" s="1"/>
    </row>
    <row r="94" spans="3:13" ht="14.45" customHeight="1" x14ac:dyDescent="0.25">
      <c r="C94" s="63">
        <v>1970</v>
      </c>
      <c r="D94" s="123" t="s">
        <v>375</v>
      </c>
      <c r="E94" s="63" t="s">
        <v>13</v>
      </c>
      <c r="F94" s="122" t="s">
        <v>163</v>
      </c>
      <c r="G94" s="51" t="s">
        <v>126</v>
      </c>
      <c r="H94" s="97" t="s">
        <v>32</v>
      </c>
      <c r="I94" s="97" t="s">
        <v>84</v>
      </c>
      <c r="J94" s="122">
        <v>3353</v>
      </c>
      <c r="K94" s="95">
        <v>3052</v>
      </c>
      <c r="L94" s="5" t="s">
        <v>232</v>
      </c>
      <c r="M94" s="1"/>
    </row>
    <row r="95" spans="3:13" ht="14.45" customHeight="1" x14ac:dyDescent="0.25">
      <c r="C95" s="63">
        <v>1984</v>
      </c>
      <c r="D95" s="97" t="s">
        <v>374</v>
      </c>
      <c r="E95" s="63" t="s">
        <v>13</v>
      </c>
      <c r="F95" s="122" t="s">
        <v>163</v>
      </c>
      <c r="G95" s="51" t="s">
        <v>126</v>
      </c>
      <c r="H95" s="97" t="s">
        <v>32</v>
      </c>
      <c r="I95" s="97" t="s">
        <v>84</v>
      </c>
      <c r="J95" s="122">
        <v>3353</v>
      </c>
      <c r="K95" s="95">
        <v>3052</v>
      </c>
      <c r="L95" s="5" t="s">
        <v>232</v>
      </c>
      <c r="M95" s="1"/>
    </row>
    <row r="96" spans="3:13" ht="14.45" customHeight="1" x14ac:dyDescent="0.25">
      <c r="C96" s="63">
        <v>2076</v>
      </c>
      <c r="D96" s="97" t="s">
        <v>373</v>
      </c>
      <c r="E96" s="63" t="s">
        <v>13</v>
      </c>
      <c r="F96" s="122" t="s">
        <v>163</v>
      </c>
      <c r="G96" s="51" t="s">
        <v>126</v>
      </c>
      <c r="H96" s="97" t="s">
        <v>32</v>
      </c>
      <c r="I96" s="97" t="s">
        <v>84</v>
      </c>
      <c r="J96" s="122">
        <v>3353</v>
      </c>
      <c r="K96" s="95">
        <v>3052</v>
      </c>
      <c r="L96" s="5" t="s">
        <v>232</v>
      </c>
      <c r="M96" s="1"/>
    </row>
    <row r="97" spans="3:13" ht="14.45" customHeight="1" x14ac:dyDescent="0.25">
      <c r="C97" s="63">
        <v>3129</v>
      </c>
      <c r="D97" s="95" t="s">
        <v>372</v>
      </c>
      <c r="E97" s="63" t="s">
        <v>13</v>
      </c>
      <c r="F97" s="122" t="s">
        <v>163</v>
      </c>
      <c r="G97" s="51" t="s">
        <v>126</v>
      </c>
      <c r="H97" s="97" t="s">
        <v>32</v>
      </c>
      <c r="I97" s="97" t="s">
        <v>84</v>
      </c>
      <c r="J97" s="122">
        <v>3353</v>
      </c>
      <c r="K97" s="95">
        <v>3052</v>
      </c>
      <c r="L97" s="5" t="s">
        <v>232</v>
      </c>
      <c r="M97" s="1"/>
    </row>
    <row r="98" spans="3:13" ht="14.45" customHeight="1" x14ac:dyDescent="0.25">
      <c r="C98" s="63">
        <v>3202</v>
      </c>
      <c r="D98" s="95" t="s">
        <v>371</v>
      </c>
      <c r="E98" s="63" t="s">
        <v>13</v>
      </c>
      <c r="F98" s="122" t="s">
        <v>163</v>
      </c>
      <c r="G98" s="51" t="s">
        <v>126</v>
      </c>
      <c r="H98" s="97" t="s">
        <v>32</v>
      </c>
      <c r="I98" s="97" t="s">
        <v>84</v>
      </c>
      <c r="J98" s="122">
        <v>3353</v>
      </c>
      <c r="K98" s="95">
        <v>3052</v>
      </c>
      <c r="L98" s="5" t="s">
        <v>232</v>
      </c>
      <c r="M98" s="1"/>
    </row>
    <row r="99" spans="3:13" ht="14.45" customHeight="1" x14ac:dyDescent="0.25">
      <c r="C99" s="63">
        <v>2080</v>
      </c>
      <c r="D99" s="97" t="s">
        <v>370</v>
      </c>
      <c r="E99" s="97" t="s">
        <v>83</v>
      </c>
      <c r="F99" s="63" t="s">
        <v>158</v>
      </c>
      <c r="G99" s="51" t="s">
        <v>126</v>
      </c>
      <c r="H99" s="97" t="s">
        <v>28</v>
      </c>
      <c r="I99" s="97" t="s">
        <v>84</v>
      </c>
      <c r="J99" s="95">
        <v>2071</v>
      </c>
      <c r="K99" s="95">
        <v>3052</v>
      </c>
      <c r="L99" s="5" t="s">
        <v>232</v>
      </c>
      <c r="M99" s="1"/>
    </row>
    <row r="100" spans="3:13" ht="14.45" customHeight="1" x14ac:dyDescent="0.25">
      <c r="C100" s="63">
        <v>2093</v>
      </c>
      <c r="D100" s="109" t="s">
        <v>369</v>
      </c>
      <c r="E100" s="97" t="s">
        <v>83</v>
      </c>
      <c r="F100" s="63" t="s">
        <v>158</v>
      </c>
      <c r="G100" s="51" t="s">
        <v>126</v>
      </c>
      <c r="H100" s="97" t="s">
        <v>28</v>
      </c>
      <c r="I100" s="97" t="s">
        <v>84</v>
      </c>
      <c r="J100" s="95">
        <v>2071</v>
      </c>
      <c r="K100" s="95">
        <v>3052</v>
      </c>
      <c r="L100" s="5" t="s">
        <v>232</v>
      </c>
      <c r="M100" s="1"/>
    </row>
    <row r="101" spans="3:13" ht="14.45" customHeight="1" x14ac:dyDescent="0.25">
      <c r="C101" s="63">
        <v>2066</v>
      </c>
      <c r="D101" s="97" t="s">
        <v>368</v>
      </c>
      <c r="E101" s="63" t="s">
        <v>83</v>
      </c>
      <c r="F101" s="63" t="s">
        <v>158</v>
      </c>
      <c r="G101" s="51" t="s">
        <v>126</v>
      </c>
      <c r="H101" s="97" t="s">
        <v>28</v>
      </c>
      <c r="I101" s="97" t="s">
        <v>84</v>
      </c>
      <c r="J101" s="95">
        <v>2071</v>
      </c>
      <c r="K101" s="95">
        <v>3052</v>
      </c>
      <c r="L101" s="5" t="s">
        <v>232</v>
      </c>
      <c r="M101" s="1"/>
    </row>
    <row r="102" spans="3:13" ht="14.45" customHeight="1" x14ac:dyDescent="0.25">
      <c r="C102" s="63">
        <v>3158</v>
      </c>
      <c r="D102" s="95" t="s">
        <v>367</v>
      </c>
      <c r="E102" s="63" t="s">
        <v>83</v>
      </c>
      <c r="F102" s="63" t="s">
        <v>158</v>
      </c>
      <c r="G102" s="51" t="s">
        <v>126</v>
      </c>
      <c r="H102" s="97" t="s">
        <v>28</v>
      </c>
      <c r="I102" s="97" t="s">
        <v>84</v>
      </c>
      <c r="J102" s="95">
        <v>2071</v>
      </c>
      <c r="K102" s="95">
        <v>3052</v>
      </c>
      <c r="L102" s="5" t="s">
        <v>232</v>
      </c>
      <c r="M102" s="1"/>
    </row>
    <row r="103" spans="3:13" ht="14.45" customHeight="1" x14ac:dyDescent="0.25">
      <c r="C103" s="63">
        <v>2062</v>
      </c>
      <c r="D103" s="109" t="s">
        <v>366</v>
      </c>
      <c r="E103" s="63" t="s">
        <v>23</v>
      </c>
      <c r="F103" s="97" t="s">
        <v>161</v>
      </c>
      <c r="G103" s="51" t="s">
        <v>126</v>
      </c>
      <c r="H103" s="97" t="s">
        <v>22</v>
      </c>
      <c r="I103" s="97" t="s">
        <v>84</v>
      </c>
      <c r="J103" s="110">
        <v>3265</v>
      </c>
      <c r="K103" s="95">
        <v>3052</v>
      </c>
      <c r="L103" s="5" t="s">
        <v>232</v>
      </c>
      <c r="M103" s="1"/>
    </row>
    <row r="104" spans="3:13" ht="14.45" customHeight="1" x14ac:dyDescent="0.25">
      <c r="C104" s="63">
        <v>2039</v>
      </c>
      <c r="D104" s="97" t="s">
        <v>365</v>
      </c>
      <c r="E104" s="97" t="s">
        <v>23</v>
      </c>
      <c r="F104" s="97" t="s">
        <v>161</v>
      </c>
      <c r="G104" s="51" t="s">
        <v>126</v>
      </c>
      <c r="H104" s="97" t="s">
        <v>22</v>
      </c>
      <c r="I104" s="97" t="s">
        <v>84</v>
      </c>
      <c r="J104" s="110">
        <v>3265</v>
      </c>
      <c r="K104" s="95">
        <v>3052</v>
      </c>
      <c r="L104" s="5" t="s">
        <v>232</v>
      </c>
      <c r="M104" s="1"/>
    </row>
    <row r="105" spans="3:13" ht="14.45" customHeight="1" x14ac:dyDescent="0.25">
      <c r="C105" s="63">
        <v>2040</v>
      </c>
      <c r="D105" s="109" t="s">
        <v>364</v>
      </c>
      <c r="E105" s="97" t="s">
        <v>23</v>
      </c>
      <c r="F105" s="97" t="s">
        <v>161</v>
      </c>
      <c r="G105" s="51" t="s">
        <v>126</v>
      </c>
      <c r="H105" s="97" t="s">
        <v>22</v>
      </c>
      <c r="I105" s="97" t="s">
        <v>84</v>
      </c>
      <c r="J105" s="110">
        <v>3265</v>
      </c>
      <c r="K105" s="95">
        <v>3052</v>
      </c>
      <c r="L105" s="5" t="s">
        <v>232</v>
      </c>
      <c r="M105" s="115"/>
    </row>
    <row r="106" spans="3:13" ht="14.45" customHeight="1" x14ac:dyDescent="0.25">
      <c r="C106" s="63">
        <v>1410</v>
      </c>
      <c r="D106" s="97" t="s">
        <v>363</v>
      </c>
      <c r="E106" s="63" t="s">
        <v>57</v>
      </c>
      <c r="F106" s="63" t="s">
        <v>172</v>
      </c>
      <c r="G106" s="63" t="s">
        <v>129</v>
      </c>
      <c r="H106" s="97" t="s">
        <v>231</v>
      </c>
      <c r="I106" s="97" t="s">
        <v>118</v>
      </c>
      <c r="J106" s="95">
        <v>1983</v>
      </c>
      <c r="K106" s="95">
        <v>1447</v>
      </c>
      <c r="L106" s="5" t="s">
        <v>226</v>
      </c>
      <c r="M106" s="1"/>
    </row>
    <row r="107" spans="3:13" ht="14.45" customHeight="1" x14ac:dyDescent="0.25">
      <c r="C107" s="63">
        <v>2053</v>
      </c>
      <c r="D107" s="97" t="s">
        <v>40</v>
      </c>
      <c r="E107" s="63" t="s">
        <v>57</v>
      </c>
      <c r="F107" s="63" t="s">
        <v>172</v>
      </c>
      <c r="G107" s="63" t="s">
        <v>129</v>
      </c>
      <c r="H107" s="97" t="s">
        <v>231</v>
      </c>
      <c r="I107" s="97" t="s">
        <v>118</v>
      </c>
      <c r="J107" s="95">
        <v>1983</v>
      </c>
      <c r="K107" s="95">
        <v>1447</v>
      </c>
      <c r="L107" s="5" t="s">
        <v>226</v>
      </c>
      <c r="M107" s="1"/>
    </row>
    <row r="108" spans="3:13" ht="14.45" customHeight="1" x14ac:dyDescent="0.25">
      <c r="C108" s="63">
        <v>2096</v>
      </c>
      <c r="D108" s="109" t="s">
        <v>362</v>
      </c>
      <c r="E108" s="63" t="s">
        <v>57</v>
      </c>
      <c r="F108" s="63" t="s">
        <v>172</v>
      </c>
      <c r="G108" s="63" t="s">
        <v>129</v>
      </c>
      <c r="H108" s="97" t="s">
        <v>231</v>
      </c>
      <c r="I108" s="97" t="s">
        <v>118</v>
      </c>
      <c r="J108" s="95">
        <v>1983</v>
      </c>
      <c r="K108" s="95">
        <v>1447</v>
      </c>
      <c r="L108" s="5" t="s">
        <v>226</v>
      </c>
      <c r="M108" s="1"/>
    </row>
    <row r="109" spans="3:13" ht="14.45" customHeight="1" x14ac:dyDescent="0.25">
      <c r="C109" s="63">
        <v>1985</v>
      </c>
      <c r="D109" s="109" t="s">
        <v>361</v>
      </c>
      <c r="E109" s="63" t="s">
        <v>57</v>
      </c>
      <c r="F109" s="63" t="s">
        <v>172</v>
      </c>
      <c r="G109" s="63" t="s">
        <v>129</v>
      </c>
      <c r="H109" s="97" t="s">
        <v>231</v>
      </c>
      <c r="I109" s="97" t="s">
        <v>118</v>
      </c>
      <c r="J109" s="95">
        <v>1983</v>
      </c>
      <c r="K109" s="95">
        <v>1447</v>
      </c>
      <c r="L109" s="5" t="s">
        <v>226</v>
      </c>
      <c r="M109" s="115"/>
    </row>
    <row r="110" spans="3:13" ht="14.45" customHeight="1" x14ac:dyDescent="0.25">
      <c r="C110" s="63">
        <v>3168</v>
      </c>
      <c r="D110" s="95" t="s">
        <v>360</v>
      </c>
      <c r="E110" s="95" t="s">
        <v>23</v>
      </c>
      <c r="F110" s="97" t="s">
        <v>161</v>
      </c>
      <c r="G110" s="51" t="s">
        <v>126</v>
      </c>
      <c r="H110" s="97" t="s">
        <v>22</v>
      </c>
      <c r="I110" s="97" t="s">
        <v>84</v>
      </c>
      <c r="J110" s="110">
        <v>3265</v>
      </c>
      <c r="K110" s="95">
        <v>3052</v>
      </c>
      <c r="L110" s="5" t="s">
        <v>232</v>
      </c>
      <c r="M110" s="1"/>
    </row>
    <row r="111" spans="3:13" ht="14.45" customHeight="1" x14ac:dyDescent="0.25">
      <c r="C111" s="63">
        <v>3215</v>
      </c>
      <c r="D111" s="95" t="s">
        <v>359</v>
      </c>
      <c r="E111" s="95" t="s">
        <v>29</v>
      </c>
      <c r="F111" s="63" t="s">
        <v>162</v>
      </c>
      <c r="G111" s="51" t="s">
        <v>126</v>
      </c>
      <c r="H111" s="97" t="s">
        <v>48</v>
      </c>
      <c r="I111" s="97" t="s">
        <v>84</v>
      </c>
      <c r="J111" s="95">
        <v>3189</v>
      </c>
      <c r="K111" s="95">
        <v>3052</v>
      </c>
      <c r="L111" s="5" t="s">
        <v>232</v>
      </c>
      <c r="M111" s="115"/>
    </row>
    <row r="112" spans="3:13" ht="14.45" customHeight="1" x14ac:dyDescent="0.25">
      <c r="C112" s="63">
        <v>3204</v>
      </c>
      <c r="D112" s="95" t="s">
        <v>358</v>
      </c>
      <c r="E112" s="95" t="s">
        <v>29</v>
      </c>
      <c r="F112" s="63" t="s">
        <v>162</v>
      </c>
      <c r="G112" s="51" t="s">
        <v>126</v>
      </c>
      <c r="H112" s="97" t="s">
        <v>48</v>
      </c>
      <c r="I112" s="97" t="s">
        <v>84</v>
      </c>
      <c r="J112" s="95">
        <v>3189</v>
      </c>
      <c r="K112" s="95">
        <v>3052</v>
      </c>
      <c r="L112" s="5" t="s">
        <v>232</v>
      </c>
      <c r="M112" s="115"/>
    </row>
    <row r="113" spans="3:13" ht="14.45" customHeight="1" x14ac:dyDescent="0.25">
      <c r="C113" s="63">
        <v>2017</v>
      </c>
      <c r="D113" s="97" t="s">
        <v>357</v>
      </c>
      <c r="E113" s="63" t="s">
        <v>81</v>
      </c>
      <c r="F113" s="58" t="s">
        <v>471</v>
      </c>
      <c r="G113" s="99" t="s">
        <v>135</v>
      </c>
      <c r="H113" s="97" t="s">
        <v>42</v>
      </c>
      <c r="I113" s="97" t="s">
        <v>70</v>
      </c>
      <c r="J113" s="58">
        <v>3430</v>
      </c>
      <c r="K113" s="95">
        <v>1449</v>
      </c>
      <c r="L113" s="5" t="s">
        <v>234</v>
      </c>
      <c r="M113" s="1"/>
    </row>
    <row r="114" spans="3:13" ht="14.45" customHeight="1" x14ac:dyDescent="0.25">
      <c r="C114" s="63">
        <v>2065</v>
      </c>
      <c r="D114" s="97" t="s">
        <v>356</v>
      </c>
      <c r="E114" s="63" t="s">
        <v>81</v>
      </c>
      <c r="F114" s="58" t="s">
        <v>471</v>
      </c>
      <c r="G114" s="99" t="s">
        <v>135</v>
      </c>
      <c r="H114" s="97" t="s">
        <v>42</v>
      </c>
      <c r="I114" s="97" t="s">
        <v>70</v>
      </c>
      <c r="J114" s="58">
        <v>3430</v>
      </c>
      <c r="K114" s="95">
        <v>1449</v>
      </c>
      <c r="L114" s="5" t="s">
        <v>234</v>
      </c>
      <c r="M114" s="1"/>
    </row>
    <row r="115" spans="3:13" ht="14.45" customHeight="1" x14ac:dyDescent="0.25">
      <c r="C115" s="63">
        <v>2067</v>
      </c>
      <c r="D115" s="109" t="s">
        <v>355</v>
      </c>
      <c r="E115" s="63" t="s">
        <v>81</v>
      </c>
      <c r="F115" s="58" t="s">
        <v>471</v>
      </c>
      <c r="G115" s="99" t="s">
        <v>135</v>
      </c>
      <c r="H115" s="97" t="s">
        <v>42</v>
      </c>
      <c r="I115" s="97" t="s">
        <v>70</v>
      </c>
      <c r="J115" s="58">
        <v>3430</v>
      </c>
      <c r="K115" s="95">
        <v>1449</v>
      </c>
      <c r="L115" s="5" t="s">
        <v>234</v>
      </c>
      <c r="M115" s="1"/>
    </row>
    <row r="116" spans="3:13" ht="14.45" customHeight="1" x14ac:dyDescent="0.25">
      <c r="C116" s="63">
        <v>2030</v>
      </c>
      <c r="D116" s="97" t="s">
        <v>354</v>
      </c>
      <c r="E116" s="95" t="s">
        <v>184</v>
      </c>
      <c r="F116" s="121" t="s">
        <v>185</v>
      </c>
      <c r="G116" s="100" t="s">
        <v>482</v>
      </c>
      <c r="H116" s="97" t="s">
        <v>352</v>
      </c>
      <c r="I116" s="97" t="s">
        <v>118</v>
      </c>
      <c r="J116" s="121" t="s">
        <v>185</v>
      </c>
      <c r="K116" s="100" t="s">
        <v>482</v>
      </c>
      <c r="L116" s="100" t="s">
        <v>234</v>
      </c>
      <c r="M116" s="1"/>
    </row>
    <row r="117" spans="3:13" ht="14.45" customHeight="1" x14ac:dyDescent="0.25">
      <c r="C117" s="63">
        <v>3011</v>
      </c>
      <c r="D117" s="97" t="s">
        <v>353</v>
      </c>
      <c r="E117" s="63" t="s">
        <v>186</v>
      </c>
      <c r="F117" s="63" t="s">
        <v>187</v>
      </c>
      <c r="G117" s="100" t="s">
        <v>482</v>
      </c>
      <c r="H117" s="97" t="s">
        <v>352</v>
      </c>
      <c r="I117" s="97" t="s">
        <v>118</v>
      </c>
      <c r="J117" s="63" t="s">
        <v>187</v>
      </c>
      <c r="K117" s="100" t="s">
        <v>482</v>
      </c>
      <c r="L117" s="100" t="s">
        <v>234</v>
      </c>
      <c r="M117" s="1"/>
    </row>
    <row r="118" spans="3:13" ht="14.45" customHeight="1" x14ac:dyDescent="0.25">
      <c r="C118" s="63">
        <v>3068</v>
      </c>
      <c r="D118" s="95" t="s">
        <v>351</v>
      </c>
      <c r="E118" s="112" t="s">
        <v>76</v>
      </c>
      <c r="F118" s="63" t="s">
        <v>203</v>
      </c>
      <c r="G118" s="97" t="s">
        <v>132</v>
      </c>
      <c r="H118" s="67" t="s">
        <v>282</v>
      </c>
      <c r="I118" s="67" t="s">
        <v>65</v>
      </c>
      <c r="J118" s="63" t="s">
        <v>203</v>
      </c>
      <c r="K118" s="95">
        <v>1766</v>
      </c>
      <c r="L118" s="5" t="s">
        <v>234</v>
      </c>
      <c r="M118" s="1"/>
    </row>
    <row r="119" spans="3:13" ht="14.45" customHeight="1" x14ac:dyDescent="0.25">
      <c r="C119" s="63">
        <v>3244</v>
      </c>
      <c r="D119" s="95" t="s">
        <v>350</v>
      </c>
      <c r="E119" s="95" t="s">
        <v>29</v>
      </c>
      <c r="F119" s="51" t="s">
        <v>162</v>
      </c>
      <c r="G119" s="51" t="s">
        <v>126</v>
      </c>
      <c r="H119" s="97" t="s">
        <v>48</v>
      </c>
      <c r="I119" s="97" t="s">
        <v>84</v>
      </c>
      <c r="J119" s="95">
        <v>3189</v>
      </c>
      <c r="K119" s="95">
        <v>3052</v>
      </c>
      <c r="L119" s="5" t="s">
        <v>232</v>
      </c>
      <c r="M119" s="120"/>
    </row>
    <row r="120" spans="3:13" ht="14.45" customHeight="1" x14ac:dyDescent="0.25">
      <c r="C120" s="63">
        <v>3228</v>
      </c>
      <c r="D120" s="95" t="s">
        <v>349</v>
      </c>
      <c r="E120" s="95" t="s">
        <v>17</v>
      </c>
      <c r="F120" s="51" t="s">
        <v>159</v>
      </c>
      <c r="G120" s="51" t="s">
        <v>126</v>
      </c>
      <c r="H120" s="51" t="s">
        <v>16</v>
      </c>
      <c r="I120" s="97" t="s">
        <v>84</v>
      </c>
      <c r="J120" s="95">
        <v>3198</v>
      </c>
      <c r="K120" s="95">
        <v>3052</v>
      </c>
      <c r="L120" s="5" t="s">
        <v>232</v>
      </c>
      <c r="M120" s="1"/>
    </row>
    <row r="121" spans="3:13" ht="14.45" customHeight="1" x14ac:dyDescent="0.25">
      <c r="C121" s="63">
        <v>3223</v>
      </c>
      <c r="D121" s="95" t="s">
        <v>348</v>
      </c>
      <c r="E121" s="95" t="s">
        <v>17</v>
      </c>
      <c r="F121" s="51" t="s">
        <v>159</v>
      </c>
      <c r="G121" s="51" t="s">
        <v>126</v>
      </c>
      <c r="H121" s="51" t="s">
        <v>16</v>
      </c>
      <c r="I121" s="97" t="s">
        <v>84</v>
      </c>
      <c r="J121" s="95">
        <v>3198</v>
      </c>
      <c r="K121" s="95">
        <v>3052</v>
      </c>
      <c r="L121" s="5" t="s">
        <v>232</v>
      </c>
      <c r="M121" s="1"/>
    </row>
    <row r="122" spans="3:13" ht="14.45" customHeight="1" x14ac:dyDescent="0.25">
      <c r="C122" s="63">
        <v>3164</v>
      </c>
      <c r="D122" s="119" t="s">
        <v>347</v>
      </c>
      <c r="E122" s="63" t="s">
        <v>13</v>
      </c>
      <c r="F122" s="51" t="s">
        <v>126</v>
      </c>
      <c r="G122" s="51" t="s">
        <v>126</v>
      </c>
      <c r="H122" s="97" t="s">
        <v>32</v>
      </c>
      <c r="I122" s="97" t="s">
        <v>84</v>
      </c>
      <c r="J122" s="95">
        <v>3052</v>
      </c>
      <c r="K122" s="95">
        <v>3052</v>
      </c>
      <c r="L122" s="5" t="s">
        <v>232</v>
      </c>
      <c r="M122" s="1"/>
    </row>
    <row r="123" spans="3:13" ht="14.45" customHeight="1" x14ac:dyDescent="0.25">
      <c r="C123" s="63">
        <v>3178</v>
      </c>
      <c r="D123" s="119" t="s">
        <v>346</v>
      </c>
      <c r="E123" s="63" t="s">
        <v>13</v>
      </c>
      <c r="F123" s="51" t="s">
        <v>126</v>
      </c>
      <c r="G123" s="51" t="s">
        <v>126</v>
      </c>
      <c r="H123" s="97" t="s">
        <v>32</v>
      </c>
      <c r="I123" s="97" t="s">
        <v>84</v>
      </c>
      <c r="J123" s="95">
        <v>3052</v>
      </c>
      <c r="K123" s="95">
        <v>3052</v>
      </c>
      <c r="L123" s="5" t="s">
        <v>232</v>
      </c>
      <c r="M123" s="1"/>
    </row>
    <row r="124" spans="3:13" ht="14.45" customHeight="1" x14ac:dyDescent="0.25">
      <c r="C124" s="63">
        <v>3177</v>
      </c>
      <c r="D124" s="119" t="s">
        <v>345</v>
      </c>
      <c r="E124" s="63" t="s">
        <v>13</v>
      </c>
      <c r="F124" s="51" t="s">
        <v>126</v>
      </c>
      <c r="G124" s="51" t="s">
        <v>126</v>
      </c>
      <c r="H124" s="97" t="s">
        <v>32</v>
      </c>
      <c r="I124" s="97" t="s">
        <v>84</v>
      </c>
      <c r="J124" s="95">
        <v>3052</v>
      </c>
      <c r="K124" s="95">
        <v>3052</v>
      </c>
      <c r="L124" s="5" t="s">
        <v>232</v>
      </c>
      <c r="M124" s="1"/>
    </row>
    <row r="125" spans="3:13" ht="14.45" customHeight="1" x14ac:dyDescent="0.25">
      <c r="C125" s="63">
        <v>3190</v>
      </c>
      <c r="D125" s="119" t="s">
        <v>344</v>
      </c>
      <c r="E125" s="63" t="s">
        <v>13</v>
      </c>
      <c r="F125" s="51" t="s">
        <v>126</v>
      </c>
      <c r="G125" s="51" t="s">
        <v>126</v>
      </c>
      <c r="H125" s="97" t="s">
        <v>32</v>
      </c>
      <c r="I125" s="97" t="s">
        <v>84</v>
      </c>
      <c r="J125" s="95">
        <v>3052</v>
      </c>
      <c r="K125" s="95">
        <v>3052</v>
      </c>
      <c r="L125" s="5" t="s">
        <v>232</v>
      </c>
      <c r="M125" s="1"/>
    </row>
    <row r="126" spans="3:13" ht="14.45" customHeight="1" x14ac:dyDescent="0.25">
      <c r="C126" s="110">
        <v>3265</v>
      </c>
      <c r="D126" s="97" t="s">
        <v>161</v>
      </c>
      <c r="E126" s="97" t="s">
        <v>23</v>
      </c>
      <c r="F126" s="97" t="s">
        <v>161</v>
      </c>
      <c r="G126" s="109" t="s">
        <v>126</v>
      </c>
      <c r="H126" s="97" t="s">
        <v>22</v>
      </c>
      <c r="I126" s="97" t="s">
        <v>84</v>
      </c>
      <c r="J126" s="110">
        <v>3265</v>
      </c>
      <c r="K126" s="97">
        <v>3052</v>
      </c>
      <c r="L126" s="5" t="s">
        <v>232</v>
      </c>
      <c r="M126" s="118"/>
    </row>
    <row r="127" spans="3:13" ht="14.45" customHeight="1" x14ac:dyDescent="0.25">
      <c r="C127" s="63">
        <v>3127</v>
      </c>
      <c r="D127" s="109" t="s">
        <v>343</v>
      </c>
      <c r="E127" s="63" t="s">
        <v>4</v>
      </c>
      <c r="F127" s="97" t="s">
        <v>213</v>
      </c>
      <c r="G127" s="99" t="s">
        <v>130</v>
      </c>
      <c r="H127" s="97" t="s">
        <v>44</v>
      </c>
      <c r="I127" s="97" t="s">
        <v>70</v>
      </c>
      <c r="J127" s="51">
        <v>3249</v>
      </c>
      <c r="K127" s="95">
        <v>1463</v>
      </c>
      <c r="L127" s="5" t="s">
        <v>226</v>
      </c>
      <c r="M127" s="1"/>
    </row>
    <row r="128" spans="3:13" ht="14.45" customHeight="1" x14ac:dyDescent="0.25">
      <c r="C128" s="63">
        <v>3166</v>
      </c>
      <c r="D128" s="109" t="s">
        <v>342</v>
      </c>
      <c r="E128" s="63" t="s">
        <v>4</v>
      </c>
      <c r="F128" s="97" t="s">
        <v>213</v>
      </c>
      <c r="G128" s="99" t="s">
        <v>130</v>
      </c>
      <c r="H128" s="97" t="s">
        <v>44</v>
      </c>
      <c r="I128" s="97" t="s">
        <v>70</v>
      </c>
      <c r="J128" s="51">
        <v>3249</v>
      </c>
      <c r="K128" s="95">
        <v>1463</v>
      </c>
      <c r="L128" s="5" t="s">
        <v>226</v>
      </c>
      <c r="M128" s="1"/>
    </row>
    <row r="129" spans="3:13" ht="14.45" customHeight="1" x14ac:dyDescent="0.25">
      <c r="C129" s="63">
        <v>2038</v>
      </c>
      <c r="D129" s="97" t="s">
        <v>341</v>
      </c>
      <c r="E129" s="63" t="s">
        <v>72</v>
      </c>
      <c r="F129" s="63" t="s">
        <v>657</v>
      </c>
      <c r="G129" s="100" t="s">
        <v>482</v>
      </c>
      <c r="H129" s="97" t="s">
        <v>263</v>
      </c>
      <c r="I129" s="97" t="s">
        <v>118</v>
      </c>
      <c r="J129" s="95">
        <v>3492</v>
      </c>
      <c r="K129" s="100" t="s">
        <v>482</v>
      </c>
      <c r="L129" s="100" t="s">
        <v>234</v>
      </c>
      <c r="M129" s="1"/>
    </row>
    <row r="130" spans="3:13" ht="14.45" customHeight="1" x14ac:dyDescent="0.25">
      <c r="C130" s="63">
        <v>3039</v>
      </c>
      <c r="D130" s="109" t="s">
        <v>340</v>
      </c>
      <c r="E130" s="63" t="s">
        <v>72</v>
      </c>
      <c r="F130" s="63" t="s">
        <v>657</v>
      </c>
      <c r="G130" s="100" t="s">
        <v>482</v>
      </c>
      <c r="H130" s="97" t="s">
        <v>263</v>
      </c>
      <c r="I130" s="97" t="s">
        <v>118</v>
      </c>
      <c r="J130" s="95">
        <v>3492</v>
      </c>
      <c r="K130" s="100" t="s">
        <v>482</v>
      </c>
      <c r="L130" s="100" t="s">
        <v>234</v>
      </c>
      <c r="M130" s="1"/>
    </row>
    <row r="131" spans="3:13" ht="14.45" customHeight="1" x14ac:dyDescent="0.25">
      <c r="C131" s="63">
        <v>3020</v>
      </c>
      <c r="D131" s="109" t="s">
        <v>339</v>
      </c>
      <c r="E131" s="63" t="s">
        <v>71</v>
      </c>
      <c r="F131" s="63" t="s">
        <v>190</v>
      </c>
      <c r="G131" s="101" t="s">
        <v>655</v>
      </c>
      <c r="H131" s="97" t="s">
        <v>49</v>
      </c>
      <c r="I131" s="97" t="s">
        <v>118</v>
      </c>
      <c r="J131" s="95">
        <v>3031</v>
      </c>
      <c r="K131" s="101">
        <v>3490</v>
      </c>
      <c r="L131" s="100" t="s">
        <v>226</v>
      </c>
      <c r="M131" s="1"/>
    </row>
    <row r="132" spans="3:13" ht="14.45" customHeight="1" x14ac:dyDescent="0.25">
      <c r="C132" s="63">
        <v>3090</v>
      </c>
      <c r="D132" s="95" t="s">
        <v>338</v>
      </c>
      <c r="E132" s="63" t="s">
        <v>71</v>
      </c>
      <c r="F132" s="63" t="s">
        <v>190</v>
      </c>
      <c r="G132" s="101" t="s">
        <v>655</v>
      </c>
      <c r="H132" s="97" t="s">
        <v>49</v>
      </c>
      <c r="I132" s="97" t="s">
        <v>118</v>
      </c>
      <c r="J132" s="95">
        <v>3031</v>
      </c>
      <c r="K132" s="101">
        <v>3490</v>
      </c>
      <c r="L132" s="100" t="s">
        <v>226</v>
      </c>
      <c r="M132" s="1"/>
    </row>
    <row r="133" spans="3:13" ht="14.45" customHeight="1" x14ac:dyDescent="0.25">
      <c r="C133" s="63">
        <v>3118</v>
      </c>
      <c r="D133" s="95" t="s">
        <v>337</v>
      </c>
      <c r="E133" s="63" t="s">
        <v>71</v>
      </c>
      <c r="F133" s="63" t="s">
        <v>190</v>
      </c>
      <c r="G133" s="101" t="s">
        <v>655</v>
      </c>
      <c r="H133" s="97" t="s">
        <v>49</v>
      </c>
      <c r="I133" s="97" t="s">
        <v>118</v>
      </c>
      <c r="J133" s="95">
        <v>3031</v>
      </c>
      <c r="K133" s="101">
        <v>3490</v>
      </c>
      <c r="L133" s="100" t="s">
        <v>226</v>
      </c>
      <c r="M133" s="1"/>
    </row>
    <row r="134" spans="3:13" ht="14.45" customHeight="1" x14ac:dyDescent="0.25">
      <c r="C134" s="63">
        <v>3031</v>
      </c>
      <c r="D134" s="51" t="s">
        <v>190</v>
      </c>
      <c r="E134" s="63" t="s">
        <v>71</v>
      </c>
      <c r="F134" s="63" t="s">
        <v>190</v>
      </c>
      <c r="G134" s="101" t="s">
        <v>655</v>
      </c>
      <c r="H134" s="97" t="s">
        <v>49</v>
      </c>
      <c r="I134" s="97" t="s">
        <v>118</v>
      </c>
      <c r="J134" s="95">
        <v>3031</v>
      </c>
      <c r="K134" s="101">
        <v>3490</v>
      </c>
      <c r="L134" s="100" t="s">
        <v>226</v>
      </c>
      <c r="M134" s="1"/>
    </row>
    <row r="135" spans="3:13" ht="14.45" customHeight="1" x14ac:dyDescent="0.25">
      <c r="C135" s="63">
        <v>3260</v>
      </c>
      <c r="D135" s="95" t="s">
        <v>336</v>
      </c>
      <c r="E135" s="95" t="s">
        <v>71</v>
      </c>
      <c r="F135" s="51" t="s">
        <v>190</v>
      </c>
      <c r="G135" s="101" t="s">
        <v>655</v>
      </c>
      <c r="H135" s="97" t="s">
        <v>49</v>
      </c>
      <c r="I135" s="97" t="s">
        <v>118</v>
      </c>
      <c r="J135" s="95">
        <v>3031</v>
      </c>
      <c r="K135" s="101">
        <v>3490</v>
      </c>
      <c r="L135" s="100" t="s">
        <v>226</v>
      </c>
      <c r="M135" s="1"/>
    </row>
    <row r="136" spans="3:13" ht="14.45" customHeight="1" x14ac:dyDescent="0.25">
      <c r="C136" s="63">
        <v>3037</v>
      </c>
      <c r="D136" s="51" t="s">
        <v>220</v>
      </c>
      <c r="E136" s="63" t="s">
        <v>11</v>
      </c>
      <c r="F136" s="63" t="s">
        <v>220</v>
      </c>
      <c r="G136" s="99" t="s">
        <v>135</v>
      </c>
      <c r="H136" s="97" t="s">
        <v>47</v>
      </c>
      <c r="I136" s="97" t="s">
        <v>70</v>
      </c>
      <c r="J136" s="95">
        <v>3037</v>
      </c>
      <c r="K136" s="95">
        <v>1449</v>
      </c>
      <c r="L136" s="5" t="s">
        <v>234</v>
      </c>
      <c r="M136" s="1"/>
    </row>
    <row r="137" spans="3:13" ht="14.45" customHeight="1" x14ac:dyDescent="0.25">
      <c r="C137" s="63">
        <v>1946</v>
      </c>
      <c r="D137" s="109" t="s">
        <v>335</v>
      </c>
      <c r="E137" s="63" t="s">
        <v>11</v>
      </c>
      <c r="F137" s="63" t="s">
        <v>220</v>
      </c>
      <c r="G137" s="99" t="s">
        <v>135</v>
      </c>
      <c r="H137" s="97" t="s">
        <v>47</v>
      </c>
      <c r="I137" s="97" t="s">
        <v>70</v>
      </c>
      <c r="J137" s="95">
        <v>3037</v>
      </c>
      <c r="K137" s="95">
        <v>1449</v>
      </c>
      <c r="L137" s="5" t="s">
        <v>234</v>
      </c>
      <c r="M137" s="1"/>
    </row>
    <row r="138" spans="3:13" ht="14.45" customHeight="1" x14ac:dyDescent="0.25">
      <c r="C138" s="63">
        <v>3084</v>
      </c>
      <c r="D138" s="95" t="s">
        <v>73</v>
      </c>
      <c r="E138" s="63" t="s">
        <v>11</v>
      </c>
      <c r="F138" s="63" t="s">
        <v>220</v>
      </c>
      <c r="G138" s="99" t="s">
        <v>135</v>
      </c>
      <c r="H138" s="97" t="s">
        <v>47</v>
      </c>
      <c r="I138" s="97" t="s">
        <v>70</v>
      </c>
      <c r="J138" s="95">
        <v>3037</v>
      </c>
      <c r="K138" s="95">
        <v>1449</v>
      </c>
      <c r="L138" s="5" t="s">
        <v>234</v>
      </c>
      <c r="M138" s="115"/>
    </row>
    <row r="139" spans="3:13" ht="14.45" customHeight="1" x14ac:dyDescent="0.25">
      <c r="C139" s="63">
        <v>3086</v>
      </c>
      <c r="D139" s="113" t="s">
        <v>334</v>
      </c>
      <c r="E139" s="63" t="s">
        <v>11</v>
      </c>
      <c r="F139" s="63" t="s">
        <v>220</v>
      </c>
      <c r="G139" s="99" t="s">
        <v>135</v>
      </c>
      <c r="H139" s="97" t="s">
        <v>47</v>
      </c>
      <c r="I139" s="97" t="s">
        <v>70</v>
      </c>
      <c r="J139" s="95">
        <v>3037</v>
      </c>
      <c r="K139" s="95">
        <v>1449</v>
      </c>
      <c r="L139" s="5" t="s">
        <v>234</v>
      </c>
      <c r="M139" s="1"/>
    </row>
    <row r="140" spans="3:13" ht="14.45" customHeight="1" x14ac:dyDescent="0.25">
      <c r="C140" s="63">
        <v>3210</v>
      </c>
      <c r="D140" s="95" t="s">
        <v>333</v>
      </c>
      <c r="E140" s="95" t="s">
        <v>11</v>
      </c>
      <c r="F140" s="51" t="s">
        <v>220</v>
      </c>
      <c r="G140" s="99" t="s">
        <v>135</v>
      </c>
      <c r="H140" s="97" t="s">
        <v>47</v>
      </c>
      <c r="I140" s="97" t="s">
        <v>70</v>
      </c>
      <c r="J140" s="95">
        <v>3037</v>
      </c>
      <c r="K140" s="95">
        <v>1449</v>
      </c>
      <c r="L140" s="5" t="s">
        <v>234</v>
      </c>
      <c r="M140" s="1"/>
    </row>
    <row r="141" spans="3:13" ht="14.45" customHeight="1" x14ac:dyDescent="0.25">
      <c r="C141" s="63">
        <v>1596</v>
      </c>
      <c r="D141" s="97" t="s">
        <v>131</v>
      </c>
      <c r="E141" s="63" t="s">
        <v>2</v>
      </c>
      <c r="F141" s="63" t="s">
        <v>205</v>
      </c>
      <c r="G141" s="63" t="s">
        <v>131</v>
      </c>
      <c r="H141" s="97" t="s">
        <v>236</v>
      </c>
      <c r="I141" s="97" t="s">
        <v>65</v>
      </c>
      <c r="J141" s="95">
        <v>3044</v>
      </c>
      <c r="K141" s="95">
        <v>1596</v>
      </c>
      <c r="L141" s="5" t="s">
        <v>226</v>
      </c>
      <c r="M141" s="1"/>
    </row>
    <row r="142" spans="3:13" ht="14.45" customHeight="1" x14ac:dyDescent="0.25">
      <c r="C142" s="63">
        <v>2074</v>
      </c>
      <c r="D142" s="109" t="s">
        <v>332</v>
      </c>
      <c r="E142" s="63" t="s">
        <v>2</v>
      </c>
      <c r="F142" s="63" t="s">
        <v>205</v>
      </c>
      <c r="G142" s="97" t="s">
        <v>131</v>
      </c>
      <c r="H142" s="97" t="s">
        <v>236</v>
      </c>
      <c r="I142" s="97" t="s">
        <v>65</v>
      </c>
      <c r="J142" s="95">
        <v>3044</v>
      </c>
      <c r="K142" s="95">
        <v>1596</v>
      </c>
      <c r="L142" s="5" t="s">
        <v>226</v>
      </c>
      <c r="M142" s="1"/>
    </row>
    <row r="143" spans="3:13" ht="14.45" customHeight="1" x14ac:dyDescent="0.25">
      <c r="C143" s="63">
        <v>3015</v>
      </c>
      <c r="D143" s="109" t="s">
        <v>331</v>
      </c>
      <c r="E143" s="63" t="s">
        <v>2</v>
      </c>
      <c r="F143" s="63" t="s">
        <v>205</v>
      </c>
      <c r="G143" s="97" t="s">
        <v>131</v>
      </c>
      <c r="H143" s="97" t="s">
        <v>236</v>
      </c>
      <c r="I143" s="97" t="s">
        <v>65</v>
      </c>
      <c r="J143" s="95">
        <v>3044</v>
      </c>
      <c r="K143" s="95">
        <v>1596</v>
      </c>
      <c r="L143" s="5" t="s">
        <v>226</v>
      </c>
      <c r="M143" s="1"/>
    </row>
    <row r="144" spans="3:13" ht="14.45" customHeight="1" x14ac:dyDescent="0.25">
      <c r="C144" s="63">
        <v>3179</v>
      </c>
      <c r="D144" s="95" t="s">
        <v>330</v>
      </c>
      <c r="E144" s="95" t="s">
        <v>2</v>
      </c>
      <c r="F144" s="63" t="s">
        <v>205</v>
      </c>
      <c r="G144" s="97" t="s">
        <v>131</v>
      </c>
      <c r="H144" s="97" t="s">
        <v>236</v>
      </c>
      <c r="I144" s="97" t="s">
        <v>65</v>
      </c>
      <c r="J144" s="95">
        <v>3044</v>
      </c>
      <c r="K144" s="95">
        <v>1596</v>
      </c>
      <c r="L144" s="5" t="s">
        <v>226</v>
      </c>
      <c r="M144" s="115"/>
    </row>
    <row r="145" spans="3:13" ht="14.45" customHeight="1" x14ac:dyDescent="0.25">
      <c r="C145" s="132">
        <v>3048</v>
      </c>
      <c r="D145" s="109" t="s">
        <v>53</v>
      </c>
      <c r="E145" s="132" t="s">
        <v>192</v>
      </c>
      <c r="F145" s="133" t="s">
        <v>469</v>
      </c>
      <c r="G145" s="101" t="s">
        <v>655</v>
      </c>
      <c r="H145" s="97" t="s">
        <v>263</v>
      </c>
      <c r="I145" s="97" t="s">
        <v>118</v>
      </c>
      <c r="J145" s="133">
        <v>3422</v>
      </c>
      <c r="K145" s="101">
        <v>3490</v>
      </c>
      <c r="L145" s="100" t="s">
        <v>226</v>
      </c>
      <c r="M145" s="1"/>
    </row>
    <row r="146" spans="3:13" ht="14.45" customHeight="1" x14ac:dyDescent="0.25">
      <c r="C146" s="132">
        <v>3063</v>
      </c>
      <c r="D146" s="97" t="s">
        <v>329</v>
      </c>
      <c r="E146" s="109" t="s">
        <v>192</v>
      </c>
      <c r="F146" s="133" t="s">
        <v>469</v>
      </c>
      <c r="G146" s="101" t="s">
        <v>655</v>
      </c>
      <c r="H146" s="97" t="s">
        <v>263</v>
      </c>
      <c r="I146" s="97" t="s">
        <v>118</v>
      </c>
      <c r="J146" s="133">
        <v>3422</v>
      </c>
      <c r="K146" s="101">
        <v>3490</v>
      </c>
      <c r="L146" s="100" t="s">
        <v>226</v>
      </c>
      <c r="M146" s="1"/>
    </row>
    <row r="147" spans="3:13" ht="14.45" customHeight="1" x14ac:dyDescent="0.25">
      <c r="C147" s="132">
        <v>3095</v>
      </c>
      <c r="D147" s="95" t="s">
        <v>328</v>
      </c>
      <c r="E147" s="95" t="s">
        <v>192</v>
      </c>
      <c r="F147" s="133" t="s">
        <v>469</v>
      </c>
      <c r="G147" s="101" t="s">
        <v>655</v>
      </c>
      <c r="H147" s="97" t="s">
        <v>263</v>
      </c>
      <c r="I147" s="97" t="s">
        <v>118</v>
      </c>
      <c r="J147" s="133">
        <v>3422</v>
      </c>
      <c r="K147" s="101">
        <v>3490</v>
      </c>
      <c r="L147" s="100" t="s">
        <v>226</v>
      </c>
      <c r="M147" s="1"/>
    </row>
    <row r="148" spans="3:13" ht="14.45" customHeight="1" x14ac:dyDescent="0.25">
      <c r="C148" s="132">
        <v>3181</v>
      </c>
      <c r="D148" s="95" t="s">
        <v>327</v>
      </c>
      <c r="E148" s="95" t="s">
        <v>192</v>
      </c>
      <c r="F148" s="133" t="s">
        <v>469</v>
      </c>
      <c r="G148" s="101" t="s">
        <v>655</v>
      </c>
      <c r="H148" s="97" t="s">
        <v>263</v>
      </c>
      <c r="I148" s="97" t="s">
        <v>118</v>
      </c>
      <c r="J148" s="133">
        <v>3422</v>
      </c>
      <c r="K148" s="101">
        <v>3490</v>
      </c>
      <c r="L148" s="100" t="s">
        <v>226</v>
      </c>
      <c r="M148" s="1"/>
    </row>
    <row r="149" spans="3:13" x14ac:dyDescent="0.25">
      <c r="C149" s="63">
        <v>3072</v>
      </c>
      <c r="D149" s="51" t="s">
        <v>207</v>
      </c>
      <c r="E149" s="63" t="s">
        <v>60</v>
      </c>
      <c r="F149" s="51" t="s">
        <v>207</v>
      </c>
      <c r="G149" s="63" t="s">
        <v>132</v>
      </c>
      <c r="H149" s="97" t="s">
        <v>31</v>
      </c>
      <c r="I149" s="67" t="s">
        <v>65</v>
      </c>
      <c r="J149" s="95">
        <v>3072</v>
      </c>
      <c r="K149" s="95">
        <v>1766</v>
      </c>
      <c r="L149" s="5" t="s">
        <v>234</v>
      </c>
      <c r="M149" s="1"/>
    </row>
    <row r="150" spans="3:13" x14ac:dyDescent="0.25">
      <c r="C150" s="63">
        <v>3076</v>
      </c>
      <c r="D150" s="117" t="s">
        <v>326</v>
      </c>
      <c r="E150" s="63" t="s">
        <v>60</v>
      </c>
      <c r="F150" s="63" t="s">
        <v>207</v>
      </c>
      <c r="G150" s="63" t="s">
        <v>132</v>
      </c>
      <c r="H150" s="97" t="s">
        <v>31</v>
      </c>
      <c r="I150" s="67" t="s">
        <v>65</v>
      </c>
      <c r="J150" s="95">
        <v>3072</v>
      </c>
      <c r="K150" s="95">
        <v>1766</v>
      </c>
      <c r="L150" s="5" t="s">
        <v>234</v>
      </c>
      <c r="M150" s="1"/>
    </row>
    <row r="151" spans="3:13" x14ac:dyDescent="0.25">
      <c r="C151" s="63">
        <v>3060</v>
      </c>
      <c r="D151" s="117" t="s">
        <v>325</v>
      </c>
      <c r="E151" s="63" t="s">
        <v>60</v>
      </c>
      <c r="F151" s="63" t="s">
        <v>207</v>
      </c>
      <c r="G151" s="63" t="s">
        <v>132</v>
      </c>
      <c r="H151" s="97" t="s">
        <v>31</v>
      </c>
      <c r="I151" s="67" t="s">
        <v>65</v>
      </c>
      <c r="J151" s="95">
        <v>3072</v>
      </c>
      <c r="K151" s="95">
        <v>1766</v>
      </c>
      <c r="L151" s="5" t="s">
        <v>234</v>
      </c>
      <c r="M151" s="1"/>
    </row>
    <row r="152" spans="3:13" x14ac:dyDescent="0.25">
      <c r="C152" s="63">
        <v>3079</v>
      </c>
      <c r="D152" s="116" t="s">
        <v>324</v>
      </c>
      <c r="E152" s="63" t="s">
        <v>60</v>
      </c>
      <c r="F152" s="63" t="s">
        <v>207</v>
      </c>
      <c r="G152" s="63" t="s">
        <v>132</v>
      </c>
      <c r="H152" s="97" t="s">
        <v>31</v>
      </c>
      <c r="I152" s="67" t="s">
        <v>65</v>
      </c>
      <c r="J152" s="95">
        <v>3072</v>
      </c>
      <c r="K152" s="95">
        <v>1766</v>
      </c>
      <c r="L152" s="5" t="s">
        <v>234</v>
      </c>
      <c r="M152" s="1"/>
    </row>
    <row r="153" spans="3:13" x14ac:dyDescent="0.25">
      <c r="C153" s="63">
        <v>3075</v>
      </c>
      <c r="D153" s="113" t="s">
        <v>323</v>
      </c>
      <c r="E153" s="63" t="s">
        <v>60</v>
      </c>
      <c r="F153" s="63" t="s">
        <v>207</v>
      </c>
      <c r="G153" s="63" t="s">
        <v>132</v>
      </c>
      <c r="H153" s="97" t="s">
        <v>31</v>
      </c>
      <c r="I153" s="67" t="s">
        <v>65</v>
      </c>
      <c r="J153" s="95">
        <v>3072</v>
      </c>
      <c r="K153" s="95">
        <v>1766</v>
      </c>
      <c r="L153" s="5" t="s">
        <v>234</v>
      </c>
      <c r="M153" s="1"/>
    </row>
    <row r="154" spans="3:13" ht="14.45" customHeight="1" x14ac:dyDescent="0.25">
      <c r="C154" s="63">
        <v>3167</v>
      </c>
      <c r="D154" s="95" t="s">
        <v>322</v>
      </c>
      <c r="E154" s="95" t="s">
        <v>68</v>
      </c>
      <c r="F154" s="63" t="s">
        <v>214</v>
      </c>
      <c r="G154" s="99" t="s">
        <v>135</v>
      </c>
      <c r="H154" s="95" t="s">
        <v>42</v>
      </c>
      <c r="I154" s="97" t="s">
        <v>70</v>
      </c>
      <c r="J154" s="95">
        <v>3120</v>
      </c>
      <c r="K154" s="95">
        <v>1449</v>
      </c>
      <c r="L154" s="5" t="s">
        <v>234</v>
      </c>
      <c r="M154" s="1"/>
    </row>
    <row r="155" spans="3:13" ht="14.45" customHeight="1" x14ac:dyDescent="0.25">
      <c r="C155" s="63">
        <v>3120</v>
      </c>
      <c r="D155" s="95" t="s">
        <v>214</v>
      </c>
      <c r="E155" s="95" t="s">
        <v>68</v>
      </c>
      <c r="F155" s="63" t="s">
        <v>214</v>
      </c>
      <c r="G155" s="99" t="s">
        <v>135</v>
      </c>
      <c r="H155" s="95" t="s">
        <v>42</v>
      </c>
      <c r="I155" s="97" t="s">
        <v>70</v>
      </c>
      <c r="J155" s="95">
        <v>3120</v>
      </c>
      <c r="K155" s="95">
        <v>1449</v>
      </c>
      <c r="L155" s="5" t="s">
        <v>234</v>
      </c>
      <c r="M155" s="1"/>
    </row>
    <row r="156" spans="3:13" ht="14.45" customHeight="1" x14ac:dyDescent="0.25">
      <c r="C156" s="63">
        <v>3153</v>
      </c>
      <c r="D156" s="95" t="s">
        <v>321</v>
      </c>
      <c r="E156" s="95" t="s">
        <v>68</v>
      </c>
      <c r="F156" s="63" t="s">
        <v>214</v>
      </c>
      <c r="G156" s="99" t="s">
        <v>135</v>
      </c>
      <c r="H156" s="95" t="s">
        <v>42</v>
      </c>
      <c r="I156" s="97" t="s">
        <v>70</v>
      </c>
      <c r="J156" s="95">
        <v>3120</v>
      </c>
      <c r="K156" s="95">
        <v>1449</v>
      </c>
      <c r="L156" s="5" t="s">
        <v>234</v>
      </c>
      <c r="M156" s="115"/>
    </row>
    <row r="157" spans="3:13" ht="14.45" customHeight="1" x14ac:dyDescent="0.25">
      <c r="C157" s="63">
        <v>3226</v>
      </c>
      <c r="D157" s="95" t="s">
        <v>320</v>
      </c>
      <c r="E157" s="95" t="s">
        <v>67</v>
      </c>
      <c r="F157" s="63" t="s">
        <v>171</v>
      </c>
      <c r="G157" s="63" t="s">
        <v>125</v>
      </c>
      <c r="H157" s="51" t="s">
        <v>35</v>
      </c>
      <c r="I157" s="63" t="s">
        <v>78</v>
      </c>
      <c r="J157" s="95">
        <v>3132</v>
      </c>
      <c r="K157" s="95">
        <v>3256</v>
      </c>
      <c r="L157" s="5" t="s">
        <v>226</v>
      </c>
      <c r="M157" s="1"/>
    </row>
    <row r="158" spans="3:13" ht="14.45" customHeight="1" x14ac:dyDescent="0.25">
      <c r="C158" s="63">
        <v>3143</v>
      </c>
      <c r="D158" s="95" t="s">
        <v>319</v>
      </c>
      <c r="E158" s="95" t="s">
        <v>67</v>
      </c>
      <c r="F158" s="63" t="s">
        <v>171</v>
      </c>
      <c r="G158" s="63" t="s">
        <v>125</v>
      </c>
      <c r="H158" s="51" t="s">
        <v>35</v>
      </c>
      <c r="I158" s="63" t="s">
        <v>78</v>
      </c>
      <c r="J158" s="95">
        <v>3132</v>
      </c>
      <c r="K158" s="95">
        <v>3256</v>
      </c>
      <c r="L158" s="5" t="s">
        <v>226</v>
      </c>
      <c r="M158" s="1"/>
    </row>
    <row r="159" spans="3:13" ht="14.45" customHeight="1" x14ac:dyDescent="0.25">
      <c r="C159" s="63">
        <v>3285</v>
      </c>
      <c r="D159" s="95" t="s">
        <v>318</v>
      </c>
      <c r="E159" s="95" t="s">
        <v>67</v>
      </c>
      <c r="F159" s="51" t="s">
        <v>171</v>
      </c>
      <c r="G159" s="63" t="s">
        <v>125</v>
      </c>
      <c r="H159" s="51" t="s">
        <v>35</v>
      </c>
      <c r="I159" s="63" t="s">
        <v>78</v>
      </c>
      <c r="J159" s="95">
        <v>3132</v>
      </c>
      <c r="K159" s="95">
        <v>3256</v>
      </c>
      <c r="L159" s="5" t="s">
        <v>226</v>
      </c>
      <c r="M159" s="1"/>
    </row>
    <row r="160" spans="3:13" ht="14.45" customHeight="1" x14ac:dyDescent="0.25">
      <c r="C160" s="63">
        <v>3219</v>
      </c>
      <c r="D160" s="95" t="s">
        <v>317</v>
      </c>
      <c r="E160" s="95" t="s">
        <v>36</v>
      </c>
      <c r="F160" s="63" t="s">
        <v>170</v>
      </c>
      <c r="G160" s="63" t="s">
        <v>125</v>
      </c>
      <c r="H160" s="51" t="s">
        <v>35</v>
      </c>
      <c r="I160" s="63" t="s">
        <v>78</v>
      </c>
      <c r="J160" s="95">
        <v>3134</v>
      </c>
      <c r="K160" s="95">
        <v>3256</v>
      </c>
      <c r="L160" s="5" t="s">
        <v>226</v>
      </c>
      <c r="M160" s="1"/>
    </row>
    <row r="161" spans="3:13" ht="14.45" customHeight="1" x14ac:dyDescent="0.25">
      <c r="C161" s="63">
        <v>3160</v>
      </c>
      <c r="D161" s="95" t="s">
        <v>316</v>
      </c>
      <c r="E161" s="95" t="s">
        <v>36</v>
      </c>
      <c r="F161" s="63" t="s">
        <v>170</v>
      </c>
      <c r="G161" s="63" t="s">
        <v>125</v>
      </c>
      <c r="H161" s="51" t="s">
        <v>35</v>
      </c>
      <c r="I161" s="63" t="s">
        <v>78</v>
      </c>
      <c r="J161" s="95">
        <v>3134</v>
      </c>
      <c r="K161" s="95">
        <v>3256</v>
      </c>
      <c r="L161" s="5" t="s">
        <v>226</v>
      </c>
      <c r="M161" s="1"/>
    </row>
    <row r="162" spans="3:13" ht="14.45" customHeight="1" x14ac:dyDescent="0.25">
      <c r="C162" s="63">
        <v>3152</v>
      </c>
      <c r="D162" s="95" t="s">
        <v>315</v>
      </c>
      <c r="E162" s="95" t="s">
        <v>36</v>
      </c>
      <c r="F162" s="63" t="s">
        <v>170</v>
      </c>
      <c r="G162" s="63" t="s">
        <v>125</v>
      </c>
      <c r="H162" s="51" t="s">
        <v>35</v>
      </c>
      <c r="I162" s="63" t="s">
        <v>78</v>
      </c>
      <c r="J162" s="95">
        <v>3134</v>
      </c>
      <c r="K162" s="95">
        <v>3256</v>
      </c>
      <c r="L162" s="5" t="s">
        <v>226</v>
      </c>
      <c r="M162" s="1"/>
    </row>
    <row r="163" spans="3:13" ht="14.45" customHeight="1" x14ac:dyDescent="0.25">
      <c r="C163" s="63">
        <v>3173</v>
      </c>
      <c r="D163" s="95" t="s">
        <v>314</v>
      </c>
      <c r="E163" s="95" t="s">
        <v>25</v>
      </c>
      <c r="F163" s="63" t="s">
        <v>166</v>
      </c>
      <c r="G163" s="63" t="s">
        <v>125</v>
      </c>
      <c r="H163" s="95" t="s">
        <v>39</v>
      </c>
      <c r="I163" s="63" t="s">
        <v>78</v>
      </c>
      <c r="J163" s="95">
        <v>3145</v>
      </c>
      <c r="K163" s="95">
        <v>3256</v>
      </c>
      <c r="L163" s="5" t="s">
        <v>226</v>
      </c>
      <c r="M163" s="1"/>
    </row>
    <row r="164" spans="3:13" ht="14.45" customHeight="1" x14ac:dyDescent="0.25">
      <c r="C164" s="63">
        <v>3172</v>
      </c>
      <c r="D164" s="95" t="s">
        <v>313</v>
      </c>
      <c r="E164" s="95" t="s">
        <v>25</v>
      </c>
      <c r="F164" s="63" t="s">
        <v>166</v>
      </c>
      <c r="G164" s="63" t="s">
        <v>125</v>
      </c>
      <c r="H164" s="95" t="s">
        <v>39</v>
      </c>
      <c r="I164" s="63" t="s">
        <v>78</v>
      </c>
      <c r="J164" s="95">
        <v>3145</v>
      </c>
      <c r="K164" s="95">
        <v>3256</v>
      </c>
      <c r="L164" s="5" t="s">
        <v>226</v>
      </c>
      <c r="M164" s="115"/>
    </row>
    <row r="165" spans="3:13" ht="14.45" customHeight="1" x14ac:dyDescent="0.25">
      <c r="C165" s="63">
        <v>3162</v>
      </c>
      <c r="D165" s="95" t="s">
        <v>312</v>
      </c>
      <c r="E165" s="95" t="s">
        <v>25</v>
      </c>
      <c r="F165" s="63" t="s">
        <v>166</v>
      </c>
      <c r="G165" s="63" t="s">
        <v>125</v>
      </c>
      <c r="H165" s="95" t="s">
        <v>39</v>
      </c>
      <c r="I165" s="63" t="s">
        <v>78</v>
      </c>
      <c r="J165" s="95">
        <v>3145</v>
      </c>
      <c r="K165" s="95">
        <v>3256</v>
      </c>
      <c r="L165" s="5" t="s">
        <v>226</v>
      </c>
      <c r="M165" s="1"/>
    </row>
    <row r="166" spans="3:13" ht="14.45" customHeight="1" x14ac:dyDescent="0.25">
      <c r="C166" s="63">
        <v>3280</v>
      </c>
      <c r="D166" s="95" t="s">
        <v>311</v>
      </c>
      <c r="E166" s="95" t="s">
        <v>25</v>
      </c>
      <c r="F166" s="51" t="s">
        <v>166</v>
      </c>
      <c r="G166" s="63" t="s">
        <v>125</v>
      </c>
      <c r="H166" s="95" t="s">
        <v>39</v>
      </c>
      <c r="I166" s="63" t="s">
        <v>78</v>
      </c>
      <c r="J166" s="95">
        <v>3145</v>
      </c>
      <c r="K166" s="95">
        <v>3256</v>
      </c>
      <c r="L166" s="5" t="s">
        <v>226</v>
      </c>
      <c r="M166" s="1"/>
    </row>
    <row r="167" spans="3:13" ht="14.45" customHeight="1" x14ac:dyDescent="0.25">
      <c r="C167" s="63">
        <v>3184</v>
      </c>
      <c r="D167" s="95" t="s">
        <v>310</v>
      </c>
      <c r="E167" s="95" t="s">
        <v>41</v>
      </c>
      <c r="F167" s="63" t="s">
        <v>169</v>
      </c>
      <c r="G167" s="63" t="s">
        <v>125</v>
      </c>
      <c r="H167" s="95" t="s">
        <v>39</v>
      </c>
      <c r="I167" s="63" t="s">
        <v>78</v>
      </c>
      <c r="J167" s="95">
        <v>3175</v>
      </c>
      <c r="K167" s="95">
        <v>3256</v>
      </c>
      <c r="L167" s="5" t="s">
        <v>226</v>
      </c>
      <c r="M167" s="1"/>
    </row>
    <row r="168" spans="3:13" ht="14.45" customHeight="1" x14ac:dyDescent="0.25">
      <c r="C168" s="63">
        <v>3175</v>
      </c>
      <c r="D168" s="95" t="s">
        <v>169</v>
      </c>
      <c r="E168" s="95" t="s">
        <v>41</v>
      </c>
      <c r="F168" s="51" t="s">
        <v>169</v>
      </c>
      <c r="G168" s="63" t="s">
        <v>125</v>
      </c>
      <c r="H168" s="95" t="s">
        <v>39</v>
      </c>
      <c r="I168" s="63" t="s">
        <v>78</v>
      </c>
      <c r="J168" s="95">
        <v>3175</v>
      </c>
      <c r="K168" s="95">
        <v>3256</v>
      </c>
      <c r="L168" s="5" t="s">
        <v>226</v>
      </c>
      <c r="M168" s="1"/>
    </row>
    <row r="169" spans="3:13" ht="14.45" customHeight="1" x14ac:dyDescent="0.25">
      <c r="C169" s="63">
        <v>3251</v>
      </c>
      <c r="D169" s="95" t="s">
        <v>244</v>
      </c>
      <c r="E169" s="95" t="s">
        <v>41</v>
      </c>
      <c r="F169" s="51" t="s">
        <v>169</v>
      </c>
      <c r="G169" s="63" t="s">
        <v>125</v>
      </c>
      <c r="H169" s="95" t="s">
        <v>39</v>
      </c>
      <c r="I169" s="63" t="s">
        <v>78</v>
      </c>
      <c r="J169" s="95">
        <v>3175</v>
      </c>
      <c r="K169" s="95">
        <v>3256</v>
      </c>
      <c r="L169" s="5" t="s">
        <v>226</v>
      </c>
      <c r="M169" s="1"/>
    </row>
    <row r="170" spans="3:13" ht="14.45" customHeight="1" x14ac:dyDescent="0.25">
      <c r="C170" s="63">
        <v>2082</v>
      </c>
      <c r="D170" s="114" t="s">
        <v>309</v>
      </c>
      <c r="E170" s="67" t="s">
        <v>33</v>
      </c>
      <c r="F170" s="63" t="s">
        <v>206</v>
      </c>
      <c r="G170" s="97" t="s">
        <v>131</v>
      </c>
      <c r="H170" s="97" t="s">
        <v>236</v>
      </c>
      <c r="I170" s="97" t="s">
        <v>65</v>
      </c>
      <c r="J170" s="95">
        <v>3180</v>
      </c>
      <c r="K170" s="95">
        <v>1596</v>
      </c>
      <c r="L170" s="5" t="s">
        <v>226</v>
      </c>
      <c r="M170" s="1"/>
    </row>
    <row r="171" spans="3:13" ht="14.45" customHeight="1" x14ac:dyDescent="0.25">
      <c r="C171" s="63">
        <v>3201</v>
      </c>
      <c r="D171" s="95" t="s">
        <v>308</v>
      </c>
      <c r="E171" s="95" t="s">
        <v>33</v>
      </c>
      <c r="F171" s="63" t="s">
        <v>206</v>
      </c>
      <c r="G171" s="97" t="s">
        <v>131</v>
      </c>
      <c r="H171" s="97" t="s">
        <v>236</v>
      </c>
      <c r="I171" s="97" t="s">
        <v>65</v>
      </c>
      <c r="J171" s="95">
        <v>3180</v>
      </c>
      <c r="K171" s="95">
        <v>1596</v>
      </c>
      <c r="L171" s="5" t="s">
        <v>226</v>
      </c>
      <c r="M171" s="1"/>
    </row>
    <row r="172" spans="3:13" ht="14.45" customHeight="1" x14ac:dyDescent="0.25">
      <c r="C172" s="63">
        <v>3221</v>
      </c>
      <c r="D172" s="95" t="s">
        <v>307</v>
      </c>
      <c r="E172" s="95" t="s">
        <v>33</v>
      </c>
      <c r="F172" s="97" t="s">
        <v>206</v>
      </c>
      <c r="G172" s="97" t="s">
        <v>131</v>
      </c>
      <c r="H172" s="97" t="s">
        <v>236</v>
      </c>
      <c r="I172" s="97" t="s">
        <v>65</v>
      </c>
      <c r="J172" s="95">
        <v>3180</v>
      </c>
      <c r="K172" s="95">
        <v>1596</v>
      </c>
      <c r="L172" s="5" t="s">
        <v>226</v>
      </c>
      <c r="M172" s="1"/>
    </row>
    <row r="173" spans="3:13" ht="14.45" customHeight="1" x14ac:dyDescent="0.25">
      <c r="C173" s="63">
        <v>3220</v>
      </c>
      <c r="D173" s="95" t="s">
        <v>306</v>
      </c>
      <c r="E173" s="95" t="s">
        <v>33</v>
      </c>
      <c r="F173" s="51" t="s">
        <v>206</v>
      </c>
      <c r="G173" s="97" t="s">
        <v>131</v>
      </c>
      <c r="H173" s="97" t="s">
        <v>236</v>
      </c>
      <c r="I173" s="97" t="s">
        <v>65</v>
      </c>
      <c r="J173" s="95">
        <v>3180</v>
      </c>
      <c r="K173" s="95">
        <v>1596</v>
      </c>
      <c r="L173" s="5" t="s">
        <v>226</v>
      </c>
      <c r="M173" s="1"/>
    </row>
    <row r="174" spans="3:13" ht="14.45" customHeight="1" x14ac:dyDescent="0.25">
      <c r="C174" s="63">
        <v>1534</v>
      </c>
      <c r="D174" s="97" t="s">
        <v>305</v>
      </c>
      <c r="E174" s="63" t="s">
        <v>20</v>
      </c>
      <c r="F174" s="63" t="s">
        <v>198</v>
      </c>
      <c r="G174" s="63" t="s">
        <v>133</v>
      </c>
      <c r="H174" s="97" t="s">
        <v>31</v>
      </c>
      <c r="I174" s="67" t="s">
        <v>34</v>
      </c>
      <c r="J174" s="95">
        <v>3183</v>
      </c>
      <c r="K174" s="95">
        <v>1140</v>
      </c>
      <c r="L174" s="5" t="s">
        <v>234</v>
      </c>
      <c r="M174" s="1"/>
    </row>
    <row r="175" spans="3:13" ht="14.45" customHeight="1" x14ac:dyDescent="0.25">
      <c r="C175" s="63">
        <v>1906</v>
      </c>
      <c r="D175" s="97" t="s">
        <v>304</v>
      </c>
      <c r="E175" s="63" t="s">
        <v>20</v>
      </c>
      <c r="F175" s="63" t="s">
        <v>198</v>
      </c>
      <c r="G175" s="63" t="s">
        <v>133</v>
      </c>
      <c r="H175" s="97" t="s">
        <v>31</v>
      </c>
      <c r="I175" s="67" t="s">
        <v>34</v>
      </c>
      <c r="J175" s="95">
        <v>3183</v>
      </c>
      <c r="K175" s="95">
        <v>1140</v>
      </c>
      <c r="L175" s="5" t="s">
        <v>234</v>
      </c>
      <c r="M175" s="1"/>
    </row>
    <row r="176" spans="3:13" ht="14.45" customHeight="1" x14ac:dyDescent="0.25">
      <c r="C176" s="63">
        <v>3091</v>
      </c>
      <c r="D176" s="113" t="s">
        <v>303</v>
      </c>
      <c r="E176" s="63" t="s">
        <v>20</v>
      </c>
      <c r="F176" s="63" t="s">
        <v>198</v>
      </c>
      <c r="G176" s="63" t="s">
        <v>133</v>
      </c>
      <c r="H176" s="97" t="s">
        <v>31</v>
      </c>
      <c r="I176" s="67" t="s">
        <v>34</v>
      </c>
      <c r="J176" s="95">
        <v>3183</v>
      </c>
      <c r="K176" s="95">
        <v>1140</v>
      </c>
      <c r="L176" s="5" t="s">
        <v>234</v>
      </c>
      <c r="M176" s="1"/>
    </row>
    <row r="177" spans="3:13" ht="14.45" customHeight="1" x14ac:dyDescent="0.25">
      <c r="C177" s="63">
        <v>3196</v>
      </c>
      <c r="D177" s="95" t="s">
        <v>302</v>
      </c>
      <c r="E177" s="95" t="s">
        <v>20</v>
      </c>
      <c r="F177" s="63" t="s">
        <v>198</v>
      </c>
      <c r="G177" s="63" t="s">
        <v>133</v>
      </c>
      <c r="H177" s="97" t="s">
        <v>31</v>
      </c>
      <c r="I177" s="67" t="s">
        <v>34</v>
      </c>
      <c r="J177" s="95">
        <v>3183</v>
      </c>
      <c r="K177" s="95">
        <v>1140</v>
      </c>
      <c r="L177" s="5" t="s">
        <v>234</v>
      </c>
      <c r="M177" s="1"/>
    </row>
    <row r="178" spans="3:13" ht="14.45" customHeight="1" x14ac:dyDescent="0.25">
      <c r="C178" s="63">
        <v>1994</v>
      </c>
      <c r="D178" s="97" t="s">
        <v>301</v>
      </c>
      <c r="E178" s="63" t="s">
        <v>10</v>
      </c>
      <c r="F178" s="63" t="s">
        <v>160</v>
      </c>
      <c r="G178" s="100" t="s">
        <v>128</v>
      </c>
      <c r="H178" s="97" t="s">
        <v>48</v>
      </c>
      <c r="I178" s="97" t="s">
        <v>84</v>
      </c>
      <c r="J178" s="95">
        <v>1962</v>
      </c>
      <c r="K178" s="100" t="s">
        <v>128</v>
      </c>
      <c r="L178" s="5" t="s">
        <v>232</v>
      </c>
      <c r="M178" s="1"/>
    </row>
    <row r="179" spans="3:13" ht="14.45" customHeight="1" x14ac:dyDescent="0.25">
      <c r="C179" s="63">
        <v>1969</v>
      </c>
      <c r="D179" s="109" t="s">
        <v>300</v>
      </c>
      <c r="E179" s="63" t="s">
        <v>10</v>
      </c>
      <c r="F179" s="63" t="s">
        <v>160</v>
      </c>
      <c r="G179" s="100" t="s">
        <v>128</v>
      </c>
      <c r="H179" s="97" t="s">
        <v>48</v>
      </c>
      <c r="I179" s="97" t="s">
        <v>84</v>
      </c>
      <c r="J179" s="95">
        <v>1962</v>
      </c>
      <c r="K179" s="100" t="s">
        <v>128</v>
      </c>
      <c r="L179" s="5" t="s">
        <v>232</v>
      </c>
      <c r="M179" s="1"/>
    </row>
    <row r="180" spans="3:13" ht="14.45" customHeight="1" x14ac:dyDescent="0.25">
      <c r="C180" s="63">
        <v>1979</v>
      </c>
      <c r="D180" s="109" t="s">
        <v>299</v>
      </c>
      <c r="E180" s="63" t="s">
        <v>10</v>
      </c>
      <c r="F180" s="63" t="s">
        <v>160</v>
      </c>
      <c r="G180" s="100" t="s">
        <v>128</v>
      </c>
      <c r="H180" s="97" t="s">
        <v>48</v>
      </c>
      <c r="I180" s="97" t="s">
        <v>84</v>
      </c>
      <c r="J180" s="95">
        <v>1962</v>
      </c>
      <c r="K180" s="100" t="s">
        <v>128</v>
      </c>
      <c r="L180" s="5" t="s">
        <v>232</v>
      </c>
      <c r="M180" s="1"/>
    </row>
    <row r="181" spans="3:13" ht="14.45" customHeight="1" x14ac:dyDescent="0.25">
      <c r="C181" s="63">
        <v>2055</v>
      </c>
      <c r="D181" s="67" t="s">
        <v>298</v>
      </c>
      <c r="E181" s="63" t="s">
        <v>5</v>
      </c>
      <c r="F181" s="58" t="s">
        <v>181</v>
      </c>
      <c r="G181" s="63" t="s">
        <v>129</v>
      </c>
      <c r="H181" s="97" t="s">
        <v>61</v>
      </c>
      <c r="I181" s="97" t="s">
        <v>118</v>
      </c>
      <c r="J181" s="58">
        <v>3380</v>
      </c>
      <c r="K181" s="95">
        <v>1447</v>
      </c>
      <c r="L181" s="5" t="s">
        <v>226</v>
      </c>
      <c r="M181" s="1"/>
    </row>
    <row r="182" spans="3:13" ht="14.45" customHeight="1" x14ac:dyDescent="0.25">
      <c r="C182" s="63">
        <v>3108</v>
      </c>
      <c r="D182" s="95" t="s">
        <v>297</v>
      </c>
      <c r="E182" s="63" t="s">
        <v>5</v>
      </c>
      <c r="F182" s="58" t="s">
        <v>181</v>
      </c>
      <c r="G182" s="63" t="s">
        <v>129</v>
      </c>
      <c r="H182" s="97" t="s">
        <v>61</v>
      </c>
      <c r="I182" s="97" t="s">
        <v>118</v>
      </c>
      <c r="J182" s="58">
        <v>3380</v>
      </c>
      <c r="K182" s="95">
        <v>1447</v>
      </c>
      <c r="L182" s="5" t="s">
        <v>226</v>
      </c>
      <c r="M182" s="1"/>
    </row>
    <row r="183" spans="3:13" ht="14.45" customHeight="1" x14ac:dyDescent="0.25">
      <c r="C183" s="63">
        <v>3104</v>
      </c>
      <c r="D183" s="113" t="s">
        <v>296</v>
      </c>
      <c r="E183" s="63" t="s">
        <v>5</v>
      </c>
      <c r="F183" s="58" t="s">
        <v>181</v>
      </c>
      <c r="G183" s="63" t="s">
        <v>129</v>
      </c>
      <c r="H183" s="97" t="s">
        <v>61</v>
      </c>
      <c r="I183" s="97" t="s">
        <v>118</v>
      </c>
      <c r="J183" s="58">
        <v>3380</v>
      </c>
      <c r="K183" s="95">
        <v>1447</v>
      </c>
      <c r="L183" s="5" t="s">
        <v>226</v>
      </c>
      <c r="M183" s="1"/>
    </row>
    <row r="184" spans="3:13" ht="14.45" customHeight="1" x14ac:dyDescent="0.25">
      <c r="C184" s="63">
        <v>3216</v>
      </c>
      <c r="D184" s="95" t="s">
        <v>295</v>
      </c>
      <c r="E184" s="95" t="s">
        <v>5</v>
      </c>
      <c r="F184" s="58" t="s">
        <v>181</v>
      </c>
      <c r="G184" s="63" t="s">
        <v>129</v>
      </c>
      <c r="H184" s="97" t="s">
        <v>61</v>
      </c>
      <c r="I184" s="97" t="s">
        <v>118</v>
      </c>
      <c r="J184" s="58">
        <v>3380</v>
      </c>
      <c r="K184" s="95">
        <v>1447</v>
      </c>
      <c r="L184" s="5" t="s">
        <v>226</v>
      </c>
      <c r="M184" s="1"/>
    </row>
    <row r="185" spans="3:13" ht="14.45" customHeight="1" x14ac:dyDescent="0.25">
      <c r="C185" s="63">
        <v>3212</v>
      </c>
      <c r="D185" s="95" t="s">
        <v>266</v>
      </c>
      <c r="E185" s="95" t="s">
        <v>5</v>
      </c>
      <c r="F185" s="58" t="s">
        <v>181</v>
      </c>
      <c r="G185" s="63" t="s">
        <v>129</v>
      </c>
      <c r="H185" s="97" t="s">
        <v>61</v>
      </c>
      <c r="I185" s="97" t="s">
        <v>118</v>
      </c>
      <c r="J185" s="58">
        <v>3380</v>
      </c>
      <c r="K185" s="95">
        <v>1447</v>
      </c>
      <c r="L185" s="5" t="s">
        <v>226</v>
      </c>
      <c r="M185" s="1"/>
    </row>
    <row r="186" spans="3:13" ht="14.45" customHeight="1" x14ac:dyDescent="0.25">
      <c r="C186" s="63">
        <v>3146</v>
      </c>
      <c r="D186" s="95" t="s">
        <v>294</v>
      </c>
      <c r="E186" s="63" t="s">
        <v>10</v>
      </c>
      <c r="F186" s="63" t="s">
        <v>160</v>
      </c>
      <c r="G186" s="100" t="s">
        <v>128</v>
      </c>
      <c r="H186" s="97" t="s">
        <v>48</v>
      </c>
      <c r="I186" s="97" t="s">
        <v>84</v>
      </c>
      <c r="J186" s="95">
        <v>1962</v>
      </c>
      <c r="K186" s="100" t="s">
        <v>128</v>
      </c>
      <c r="L186" s="5" t="s">
        <v>232</v>
      </c>
      <c r="M186" s="1"/>
    </row>
    <row r="187" spans="3:13" ht="14.45" customHeight="1" x14ac:dyDescent="0.25">
      <c r="C187" s="63">
        <v>1962</v>
      </c>
      <c r="D187" s="95" t="s">
        <v>293</v>
      </c>
      <c r="E187" s="63" t="s">
        <v>10</v>
      </c>
      <c r="F187" s="63" t="s">
        <v>160</v>
      </c>
      <c r="G187" s="100" t="s">
        <v>128</v>
      </c>
      <c r="H187" s="97" t="s">
        <v>48</v>
      </c>
      <c r="I187" s="97" t="s">
        <v>84</v>
      </c>
      <c r="J187" s="95">
        <v>1962</v>
      </c>
      <c r="K187" s="100" t="s">
        <v>128</v>
      </c>
      <c r="L187" s="5" t="s">
        <v>232</v>
      </c>
      <c r="M187" s="1"/>
    </row>
    <row r="188" spans="3:13" ht="14.45" customHeight="1" x14ac:dyDescent="0.25">
      <c r="C188" s="63">
        <v>2097</v>
      </c>
      <c r="D188" s="51" t="s">
        <v>292</v>
      </c>
      <c r="E188" s="95" t="s">
        <v>56</v>
      </c>
      <c r="F188" s="5" t="s">
        <v>176</v>
      </c>
      <c r="G188" s="58" t="s">
        <v>127</v>
      </c>
      <c r="H188" s="98" t="s">
        <v>129</v>
      </c>
      <c r="I188" s="97" t="s">
        <v>118</v>
      </c>
      <c r="J188" s="12">
        <v>3388</v>
      </c>
      <c r="K188" s="58">
        <v>1772</v>
      </c>
      <c r="L188" s="5" t="s">
        <v>226</v>
      </c>
      <c r="M188" s="1"/>
    </row>
    <row r="189" spans="3:13" ht="14.45" customHeight="1" x14ac:dyDescent="0.25">
      <c r="C189" s="63">
        <v>3245</v>
      </c>
      <c r="D189" s="51" t="s">
        <v>291</v>
      </c>
      <c r="E189" s="95" t="s">
        <v>79</v>
      </c>
      <c r="F189" s="51" t="s">
        <v>470</v>
      </c>
      <c r="G189" s="97" t="s">
        <v>133</v>
      </c>
      <c r="H189" s="97" t="s">
        <v>31</v>
      </c>
      <c r="I189" s="67" t="s">
        <v>34</v>
      </c>
      <c r="J189" s="51">
        <v>3426</v>
      </c>
      <c r="K189" s="95">
        <v>1140</v>
      </c>
      <c r="L189" s="5" t="s">
        <v>234</v>
      </c>
      <c r="M189" s="1"/>
    </row>
    <row r="190" spans="3:13" ht="14.45" customHeight="1" x14ac:dyDescent="0.25">
      <c r="C190" s="63">
        <v>3229</v>
      </c>
      <c r="D190" s="95" t="s">
        <v>204</v>
      </c>
      <c r="E190" s="95" t="s">
        <v>75</v>
      </c>
      <c r="F190" s="95" t="s">
        <v>204</v>
      </c>
      <c r="G190" s="63" t="s">
        <v>131</v>
      </c>
      <c r="H190" s="97" t="s">
        <v>227</v>
      </c>
      <c r="I190" s="97" t="s">
        <v>65</v>
      </c>
      <c r="J190" s="95">
        <v>3229</v>
      </c>
      <c r="K190" s="95">
        <v>1596</v>
      </c>
      <c r="L190" s="5" t="s">
        <v>226</v>
      </c>
      <c r="M190" s="1"/>
    </row>
    <row r="191" spans="3:13" ht="14.45" customHeight="1" x14ac:dyDescent="0.25">
      <c r="C191" s="63">
        <v>3004</v>
      </c>
      <c r="D191" s="97" t="s">
        <v>189</v>
      </c>
      <c r="E191" s="97" t="s">
        <v>50</v>
      </c>
      <c r="F191" s="63" t="s">
        <v>188</v>
      </c>
      <c r="G191" s="101" t="s">
        <v>655</v>
      </c>
      <c r="H191" s="97" t="s">
        <v>49</v>
      </c>
      <c r="I191" s="97" t="s">
        <v>118</v>
      </c>
      <c r="J191" s="51">
        <v>3235</v>
      </c>
      <c r="K191" s="101">
        <v>3490</v>
      </c>
      <c r="L191" s="100" t="s">
        <v>226</v>
      </c>
      <c r="M191" s="1"/>
    </row>
    <row r="192" spans="3:13" ht="14.45" customHeight="1" x14ac:dyDescent="0.25">
      <c r="C192" s="63">
        <v>3263</v>
      </c>
      <c r="D192" s="95" t="s">
        <v>290</v>
      </c>
      <c r="E192" s="95" t="s">
        <v>50</v>
      </c>
      <c r="F192" s="63" t="s">
        <v>188</v>
      </c>
      <c r="G192" s="101" t="s">
        <v>655</v>
      </c>
      <c r="H192" s="97" t="s">
        <v>49</v>
      </c>
      <c r="I192" s="97" t="s">
        <v>118</v>
      </c>
      <c r="J192" s="51">
        <v>3235</v>
      </c>
      <c r="K192" s="101">
        <v>3490</v>
      </c>
      <c r="L192" s="100" t="s">
        <v>226</v>
      </c>
      <c r="M192" s="1"/>
    </row>
    <row r="193" spans="1:13" ht="14.45" customHeight="1" x14ac:dyDescent="0.25">
      <c r="C193" s="63">
        <v>3233</v>
      </c>
      <c r="D193" s="95" t="s">
        <v>289</v>
      </c>
      <c r="E193" s="95" t="s">
        <v>6</v>
      </c>
      <c r="F193" s="63" t="s">
        <v>173</v>
      </c>
      <c r="G193" s="63" t="s">
        <v>129</v>
      </c>
      <c r="H193" s="97" t="s">
        <v>231</v>
      </c>
      <c r="I193" s="97" t="s">
        <v>118</v>
      </c>
      <c r="J193" s="95">
        <v>3237</v>
      </c>
      <c r="K193" s="95">
        <v>1447</v>
      </c>
      <c r="L193" s="5" t="s">
        <v>226</v>
      </c>
      <c r="M193" s="1"/>
    </row>
    <row r="194" spans="1:13" ht="14.45" customHeight="1" x14ac:dyDescent="0.25">
      <c r="C194" s="63">
        <v>3238</v>
      </c>
      <c r="D194" s="95" t="s">
        <v>288</v>
      </c>
      <c r="E194" s="95" t="s">
        <v>6</v>
      </c>
      <c r="F194" s="97" t="s">
        <v>173</v>
      </c>
      <c r="G194" s="63" t="s">
        <v>129</v>
      </c>
      <c r="H194" s="97" t="s">
        <v>231</v>
      </c>
      <c r="I194" s="97" t="s">
        <v>118</v>
      </c>
      <c r="J194" s="95">
        <v>3237</v>
      </c>
      <c r="K194" s="95">
        <v>1447</v>
      </c>
      <c r="L194" s="5" t="s">
        <v>226</v>
      </c>
      <c r="M194" s="1"/>
    </row>
    <row r="195" spans="1:13" ht="14.45" customHeight="1" x14ac:dyDescent="0.25">
      <c r="C195" s="63">
        <v>3250</v>
      </c>
      <c r="D195" s="95" t="s">
        <v>287</v>
      </c>
      <c r="E195" s="63" t="s">
        <v>4</v>
      </c>
      <c r="F195" s="97" t="s">
        <v>213</v>
      </c>
      <c r="G195" s="99" t="s">
        <v>130</v>
      </c>
      <c r="H195" s="97" t="s">
        <v>44</v>
      </c>
      <c r="I195" s="97" t="s">
        <v>70</v>
      </c>
      <c r="J195" s="51">
        <v>3249</v>
      </c>
      <c r="K195" s="95">
        <v>1463</v>
      </c>
      <c r="L195" s="5" t="s">
        <v>226</v>
      </c>
      <c r="M195" s="111"/>
    </row>
    <row r="196" spans="1:13" ht="14.45" customHeight="1" x14ac:dyDescent="0.25">
      <c r="C196" s="63">
        <v>3155</v>
      </c>
      <c r="D196" s="95" t="s">
        <v>286</v>
      </c>
      <c r="E196" s="95" t="s">
        <v>9</v>
      </c>
      <c r="F196" s="63" t="s">
        <v>167</v>
      </c>
      <c r="G196" s="63" t="s">
        <v>125</v>
      </c>
      <c r="H196" s="51" t="s">
        <v>35</v>
      </c>
      <c r="I196" s="63" t="s">
        <v>78</v>
      </c>
      <c r="J196" s="95">
        <v>3275</v>
      </c>
      <c r="K196" s="95">
        <v>3256</v>
      </c>
      <c r="L196" s="5" t="s">
        <v>226</v>
      </c>
      <c r="M196" s="1"/>
    </row>
    <row r="197" spans="1:13" ht="14.45" customHeight="1" x14ac:dyDescent="0.25">
      <c r="C197" s="63">
        <v>3227</v>
      </c>
      <c r="D197" s="95" t="s">
        <v>285</v>
      </c>
      <c r="E197" s="95" t="s">
        <v>9</v>
      </c>
      <c r="F197" s="51" t="s">
        <v>167</v>
      </c>
      <c r="G197" s="63" t="s">
        <v>125</v>
      </c>
      <c r="H197" s="51" t="s">
        <v>35</v>
      </c>
      <c r="I197" s="63" t="s">
        <v>78</v>
      </c>
      <c r="J197" s="95">
        <v>3275</v>
      </c>
      <c r="K197" s="95">
        <v>3256</v>
      </c>
      <c r="L197" s="5" t="s">
        <v>226</v>
      </c>
      <c r="M197" s="1"/>
    </row>
    <row r="198" spans="1:13" ht="14.45" customHeight="1" x14ac:dyDescent="0.25">
      <c r="C198" s="63">
        <v>3264</v>
      </c>
      <c r="D198" s="95" t="s">
        <v>189</v>
      </c>
      <c r="E198" s="95" t="s">
        <v>9</v>
      </c>
      <c r="F198" s="51" t="s">
        <v>167</v>
      </c>
      <c r="G198" s="63" t="s">
        <v>125</v>
      </c>
      <c r="H198" s="51" t="s">
        <v>35</v>
      </c>
      <c r="I198" s="63" t="s">
        <v>78</v>
      </c>
      <c r="J198" s="95">
        <v>3275</v>
      </c>
      <c r="K198" s="95">
        <v>3256</v>
      </c>
      <c r="L198" s="5" t="s">
        <v>226</v>
      </c>
      <c r="M198" s="1"/>
    </row>
    <row r="199" spans="1:13" ht="14.45" customHeight="1" x14ac:dyDescent="0.25">
      <c r="C199" s="63" t="s">
        <v>134</v>
      </c>
      <c r="D199" s="97" t="s">
        <v>134</v>
      </c>
      <c r="E199" s="97" t="s">
        <v>134</v>
      </c>
      <c r="F199" s="63" t="s">
        <v>134</v>
      </c>
      <c r="G199" s="97" t="s">
        <v>134</v>
      </c>
      <c r="H199" s="97" t="s">
        <v>284</v>
      </c>
      <c r="I199" s="97" t="s">
        <v>284</v>
      </c>
      <c r="J199" s="97" t="s">
        <v>284</v>
      </c>
      <c r="K199" s="97" t="s">
        <v>284</v>
      </c>
      <c r="L199" s="97" t="s">
        <v>284</v>
      </c>
      <c r="M199" s="1"/>
    </row>
    <row r="200" spans="1:13" ht="14.45" customHeight="1" x14ac:dyDescent="0.25">
      <c r="C200" s="63">
        <v>3111</v>
      </c>
      <c r="D200" s="95" t="s">
        <v>283</v>
      </c>
      <c r="E200" s="112" t="s">
        <v>76</v>
      </c>
      <c r="F200" s="63" t="s">
        <v>203</v>
      </c>
      <c r="G200" s="97" t="s">
        <v>132</v>
      </c>
      <c r="H200" s="67" t="s">
        <v>282</v>
      </c>
      <c r="I200" s="67" t="s">
        <v>65</v>
      </c>
      <c r="J200" s="97" t="s">
        <v>203</v>
      </c>
      <c r="K200" s="95">
        <v>1766</v>
      </c>
      <c r="L200" s="5" t="s">
        <v>234</v>
      </c>
      <c r="M200" s="111"/>
    </row>
    <row r="201" spans="1:13" ht="14.45" customHeight="1" x14ac:dyDescent="0.25">
      <c r="C201" s="63">
        <v>3163</v>
      </c>
      <c r="D201" s="95" t="s">
        <v>281</v>
      </c>
      <c r="E201" s="95" t="s">
        <v>10</v>
      </c>
      <c r="F201" s="63" t="s">
        <v>160</v>
      </c>
      <c r="G201" s="100" t="s">
        <v>128</v>
      </c>
      <c r="H201" s="97" t="s">
        <v>48</v>
      </c>
      <c r="I201" s="97" t="s">
        <v>84</v>
      </c>
      <c r="J201" s="95">
        <v>1962</v>
      </c>
      <c r="K201" s="100" t="s">
        <v>128</v>
      </c>
      <c r="L201" s="5" t="s">
        <v>232</v>
      </c>
      <c r="M201" s="1"/>
    </row>
    <row r="202" spans="1:13" ht="14.45" customHeight="1" x14ac:dyDescent="0.25">
      <c r="C202" s="63">
        <v>3191</v>
      </c>
      <c r="D202" s="95" t="s">
        <v>280</v>
      </c>
      <c r="E202" s="95" t="s">
        <v>10</v>
      </c>
      <c r="F202" s="63" t="s">
        <v>160</v>
      </c>
      <c r="G202" s="100" t="s">
        <v>128</v>
      </c>
      <c r="H202" s="97" t="s">
        <v>48</v>
      </c>
      <c r="I202" s="97" t="s">
        <v>84</v>
      </c>
      <c r="J202" s="95">
        <v>1962</v>
      </c>
      <c r="K202" s="100" t="s">
        <v>128</v>
      </c>
      <c r="L202" s="5" t="s">
        <v>232</v>
      </c>
      <c r="M202" s="1"/>
    </row>
    <row r="203" spans="1:13" ht="14.45" customHeight="1" x14ac:dyDescent="0.25">
      <c r="C203" s="63">
        <v>2007</v>
      </c>
      <c r="D203" s="67" t="s">
        <v>279</v>
      </c>
      <c r="E203" s="63" t="s">
        <v>18</v>
      </c>
      <c r="F203" s="63" t="s">
        <v>153</v>
      </c>
      <c r="G203" s="100" t="s">
        <v>128</v>
      </c>
      <c r="H203" s="97" t="s">
        <v>52</v>
      </c>
      <c r="I203" s="97" t="s">
        <v>84</v>
      </c>
      <c r="J203" s="95">
        <v>2002</v>
      </c>
      <c r="K203" s="100" t="s">
        <v>128</v>
      </c>
      <c r="L203" s="5" t="s">
        <v>232</v>
      </c>
      <c r="M203" s="1"/>
    </row>
    <row r="204" spans="1:13" ht="14.45" customHeight="1" x14ac:dyDescent="0.25">
      <c r="C204" s="63">
        <v>2003</v>
      </c>
      <c r="D204" s="109" t="s">
        <v>278</v>
      </c>
      <c r="E204" s="97" t="s">
        <v>18</v>
      </c>
      <c r="F204" s="63" t="s">
        <v>153</v>
      </c>
      <c r="G204" s="100" t="s">
        <v>128</v>
      </c>
      <c r="H204" s="97" t="s">
        <v>52</v>
      </c>
      <c r="I204" s="97" t="s">
        <v>84</v>
      </c>
      <c r="J204" s="95">
        <v>2002</v>
      </c>
      <c r="K204" s="100" t="s">
        <v>128</v>
      </c>
      <c r="L204" s="5" t="s">
        <v>232</v>
      </c>
      <c r="M204" s="1"/>
    </row>
    <row r="205" spans="1:13" ht="14.45" customHeight="1" x14ac:dyDescent="0.25">
      <c r="C205" s="63">
        <v>1147</v>
      </c>
      <c r="D205" s="63" t="s">
        <v>277</v>
      </c>
      <c r="E205" s="63" t="s">
        <v>8</v>
      </c>
      <c r="F205" s="144" t="s">
        <v>489</v>
      </c>
      <c r="G205" s="63" t="s">
        <v>133</v>
      </c>
      <c r="H205" s="97" t="s">
        <v>31</v>
      </c>
      <c r="I205" s="67" t="s">
        <v>34</v>
      </c>
      <c r="J205" s="144" t="s">
        <v>489</v>
      </c>
      <c r="K205" s="95">
        <v>1140</v>
      </c>
      <c r="L205" s="5" t="s">
        <v>234</v>
      </c>
      <c r="M205" s="1"/>
    </row>
    <row r="206" spans="1:13" x14ac:dyDescent="0.25">
      <c r="A206" t="s">
        <v>68</v>
      </c>
      <c r="C206" s="63">
        <v>1147</v>
      </c>
      <c r="D206" s="63" t="s">
        <v>277</v>
      </c>
      <c r="E206" s="63" t="s">
        <v>60</v>
      </c>
      <c r="F206" s="144" t="s">
        <v>489</v>
      </c>
      <c r="G206" s="63" t="s">
        <v>133</v>
      </c>
      <c r="H206" s="97" t="s">
        <v>31</v>
      </c>
      <c r="I206" s="67" t="s">
        <v>34</v>
      </c>
      <c r="J206" s="144" t="s">
        <v>489</v>
      </c>
      <c r="K206" s="95">
        <v>1140</v>
      </c>
      <c r="L206" s="5" t="s">
        <v>234</v>
      </c>
    </row>
    <row r="207" spans="1:13" ht="14.45" customHeight="1" x14ac:dyDescent="0.25">
      <c r="A207" t="s">
        <v>36</v>
      </c>
      <c r="C207" s="103">
        <v>3302</v>
      </c>
      <c r="D207" s="95" t="s">
        <v>276</v>
      </c>
      <c r="E207" s="95" t="s">
        <v>75</v>
      </c>
      <c r="F207" s="95" t="s">
        <v>204</v>
      </c>
      <c r="G207" s="63" t="s">
        <v>131</v>
      </c>
      <c r="H207" s="97" t="s">
        <v>227</v>
      </c>
      <c r="I207" s="97" t="s">
        <v>65</v>
      </c>
      <c r="J207" s="95">
        <v>3229</v>
      </c>
      <c r="K207" s="95">
        <v>1596</v>
      </c>
      <c r="L207" s="5" t="s">
        <v>226</v>
      </c>
    </row>
    <row r="208" spans="1:13" ht="14.45" customHeight="1" x14ac:dyDescent="0.25">
      <c r="A208" t="s">
        <v>165</v>
      </c>
      <c r="C208" s="103">
        <v>3290</v>
      </c>
      <c r="D208" s="95" t="s">
        <v>275</v>
      </c>
      <c r="E208" s="51" t="s">
        <v>63</v>
      </c>
      <c r="F208" s="51" t="s">
        <v>168</v>
      </c>
      <c r="G208" s="63" t="s">
        <v>125</v>
      </c>
      <c r="H208" s="97" t="s">
        <v>42</v>
      </c>
      <c r="I208" s="63" t="s">
        <v>78</v>
      </c>
      <c r="J208" s="51">
        <v>3301</v>
      </c>
      <c r="K208" s="95">
        <v>3256</v>
      </c>
      <c r="L208" s="5" t="s">
        <v>226</v>
      </c>
    </row>
    <row r="209" spans="1:12" ht="14.45" customHeight="1" x14ac:dyDescent="0.25">
      <c r="A209" t="s">
        <v>9</v>
      </c>
      <c r="C209" s="63">
        <v>2006</v>
      </c>
      <c r="D209" s="109" t="s">
        <v>274</v>
      </c>
      <c r="E209" s="97" t="s">
        <v>18</v>
      </c>
      <c r="F209" s="63" t="s">
        <v>153</v>
      </c>
      <c r="G209" s="100" t="s">
        <v>128</v>
      </c>
      <c r="H209" s="97" t="s">
        <v>52</v>
      </c>
      <c r="I209" s="97" t="s">
        <v>84</v>
      </c>
      <c r="J209" s="95">
        <v>2002</v>
      </c>
      <c r="K209" s="100" t="s">
        <v>128</v>
      </c>
      <c r="L209" s="5" t="s">
        <v>232</v>
      </c>
    </row>
    <row r="210" spans="1:12" ht="14.45" customHeight="1" x14ac:dyDescent="0.25">
      <c r="A210" t="s">
        <v>29</v>
      </c>
      <c r="C210" s="103">
        <v>3309</v>
      </c>
      <c r="D210" s="95" t="s">
        <v>273</v>
      </c>
      <c r="E210" s="95" t="s">
        <v>41</v>
      </c>
      <c r="F210" s="51" t="s">
        <v>169</v>
      </c>
      <c r="G210" s="63" t="s">
        <v>125</v>
      </c>
      <c r="H210" s="95" t="s">
        <v>39</v>
      </c>
      <c r="I210" s="63" t="s">
        <v>78</v>
      </c>
      <c r="J210" s="95">
        <v>3175</v>
      </c>
      <c r="K210" s="95">
        <v>3256</v>
      </c>
      <c r="L210" s="5" t="s">
        <v>226</v>
      </c>
    </row>
    <row r="211" spans="1:12" ht="14.45" customHeight="1" x14ac:dyDescent="0.25">
      <c r="A211" t="s">
        <v>41</v>
      </c>
      <c r="C211" s="103">
        <v>3274</v>
      </c>
      <c r="D211" s="95" t="s">
        <v>272</v>
      </c>
      <c r="E211" s="95" t="s">
        <v>30</v>
      </c>
      <c r="F211" s="51" t="s">
        <v>155</v>
      </c>
      <c r="G211" s="95" t="s">
        <v>126</v>
      </c>
      <c r="H211" s="97" t="s">
        <v>22</v>
      </c>
      <c r="I211" s="97" t="s">
        <v>84</v>
      </c>
      <c r="J211" s="51">
        <v>3295</v>
      </c>
      <c r="K211" s="95">
        <v>3052</v>
      </c>
      <c r="L211" s="5" t="s">
        <v>232</v>
      </c>
    </row>
    <row r="212" spans="1:12" ht="14.45" customHeight="1" x14ac:dyDescent="0.25">
      <c r="C212" s="51">
        <v>3272</v>
      </c>
      <c r="D212" s="51" t="s">
        <v>271</v>
      </c>
      <c r="E212" s="95" t="s">
        <v>30</v>
      </c>
      <c r="F212" s="51" t="s">
        <v>155</v>
      </c>
      <c r="G212" s="95" t="s">
        <v>126</v>
      </c>
      <c r="H212" s="97" t="s">
        <v>22</v>
      </c>
      <c r="I212" s="97" t="s">
        <v>84</v>
      </c>
      <c r="J212" s="51">
        <v>3295</v>
      </c>
      <c r="K212" s="95">
        <v>3052</v>
      </c>
      <c r="L212" s="5" t="s">
        <v>232</v>
      </c>
    </row>
    <row r="213" spans="1:12" ht="14.45" customHeight="1" x14ac:dyDescent="0.25">
      <c r="C213" s="51">
        <v>3273</v>
      </c>
      <c r="D213" s="51" t="s">
        <v>270</v>
      </c>
      <c r="E213" s="95" t="s">
        <v>30</v>
      </c>
      <c r="F213" s="51" t="s">
        <v>155</v>
      </c>
      <c r="G213" s="95" t="s">
        <v>126</v>
      </c>
      <c r="H213" s="97" t="s">
        <v>22</v>
      </c>
      <c r="I213" s="97" t="s">
        <v>84</v>
      </c>
      <c r="J213" s="51">
        <v>3295</v>
      </c>
      <c r="K213" s="95">
        <v>3052</v>
      </c>
      <c r="L213" s="5" t="s">
        <v>232</v>
      </c>
    </row>
    <row r="214" spans="1:12" ht="14.45" customHeight="1" x14ac:dyDescent="0.25">
      <c r="C214" s="103">
        <v>3313</v>
      </c>
      <c r="D214" s="95" t="s">
        <v>242</v>
      </c>
      <c r="E214" s="95" t="s">
        <v>10</v>
      </c>
      <c r="F214" s="63" t="s">
        <v>160</v>
      </c>
      <c r="G214" s="100" t="s">
        <v>128</v>
      </c>
      <c r="H214" s="97" t="s">
        <v>48</v>
      </c>
      <c r="I214" s="97" t="s">
        <v>84</v>
      </c>
      <c r="J214" s="95">
        <v>1962</v>
      </c>
      <c r="K214" s="100" t="s">
        <v>128</v>
      </c>
      <c r="L214" s="5" t="s">
        <v>232</v>
      </c>
    </row>
    <row r="215" spans="1:12" ht="14.45" customHeight="1" x14ac:dyDescent="0.25">
      <c r="C215" s="103">
        <v>3312</v>
      </c>
      <c r="D215" s="95" t="s">
        <v>269</v>
      </c>
      <c r="E215" s="63" t="s">
        <v>201</v>
      </c>
      <c r="F215" s="63" t="s">
        <v>202</v>
      </c>
      <c r="G215" s="63" t="s">
        <v>131</v>
      </c>
      <c r="H215" s="97" t="s">
        <v>227</v>
      </c>
      <c r="I215" s="97" t="s">
        <v>65</v>
      </c>
      <c r="J215" s="95">
        <v>1827</v>
      </c>
      <c r="K215" s="95">
        <v>1596</v>
      </c>
      <c r="L215" s="5" t="s">
        <v>226</v>
      </c>
    </row>
    <row r="216" spans="1:12" ht="14.45" customHeight="1" x14ac:dyDescent="0.25">
      <c r="C216" s="103">
        <v>3314</v>
      </c>
      <c r="D216" s="95" t="s">
        <v>268</v>
      </c>
      <c r="E216" s="95" t="s">
        <v>63</v>
      </c>
      <c r="F216" s="51" t="s">
        <v>168</v>
      </c>
      <c r="G216" s="63" t="s">
        <v>125</v>
      </c>
      <c r="H216" s="97" t="s">
        <v>42</v>
      </c>
      <c r="I216" s="63" t="s">
        <v>78</v>
      </c>
      <c r="J216" s="51">
        <v>3301</v>
      </c>
      <c r="K216" s="95">
        <v>3256</v>
      </c>
      <c r="L216" s="5" t="s">
        <v>226</v>
      </c>
    </row>
    <row r="217" spans="1:12" ht="14.45" customHeight="1" x14ac:dyDescent="0.25">
      <c r="C217" s="103">
        <v>3300</v>
      </c>
      <c r="D217" s="95" t="s">
        <v>267</v>
      </c>
      <c r="E217" s="95" t="s">
        <v>66</v>
      </c>
      <c r="F217" s="58" t="s">
        <v>157</v>
      </c>
      <c r="G217" s="100" t="s">
        <v>128</v>
      </c>
      <c r="H217" s="97" t="s">
        <v>48</v>
      </c>
      <c r="I217" s="97" t="s">
        <v>84</v>
      </c>
      <c r="J217" s="58">
        <v>3258</v>
      </c>
      <c r="K217" s="100" t="s">
        <v>128</v>
      </c>
      <c r="L217" s="5" t="s">
        <v>232</v>
      </c>
    </row>
    <row r="218" spans="1:12" ht="14.45" customHeight="1" x14ac:dyDescent="0.25">
      <c r="C218" s="103">
        <v>3325</v>
      </c>
      <c r="D218" s="95" t="s">
        <v>266</v>
      </c>
      <c r="E218" s="95" t="s">
        <v>6</v>
      </c>
      <c r="F218" s="97" t="s">
        <v>173</v>
      </c>
      <c r="G218" s="63" t="s">
        <v>129</v>
      </c>
      <c r="H218" s="97" t="s">
        <v>231</v>
      </c>
      <c r="I218" s="97" t="s">
        <v>118</v>
      </c>
      <c r="J218" s="95">
        <v>3237</v>
      </c>
      <c r="K218" s="95">
        <v>1447</v>
      </c>
      <c r="L218" s="5" t="s">
        <v>226</v>
      </c>
    </row>
    <row r="219" spans="1:12" ht="14.45" customHeight="1" x14ac:dyDescent="0.25">
      <c r="C219" s="103">
        <v>3323</v>
      </c>
      <c r="D219" s="95" t="s">
        <v>265</v>
      </c>
      <c r="E219" s="95" t="s">
        <v>23</v>
      </c>
      <c r="F219" s="97" t="s">
        <v>161</v>
      </c>
      <c r="G219" s="109" t="s">
        <v>126</v>
      </c>
      <c r="H219" s="97" t="s">
        <v>22</v>
      </c>
      <c r="I219" s="97" t="s">
        <v>84</v>
      </c>
      <c r="J219" s="110">
        <v>3265</v>
      </c>
      <c r="K219" s="97">
        <v>3052</v>
      </c>
      <c r="L219" s="5" t="s">
        <v>232</v>
      </c>
    </row>
    <row r="220" spans="1:12" ht="14.45" customHeight="1" x14ac:dyDescent="0.25">
      <c r="C220" s="103">
        <v>3335</v>
      </c>
      <c r="D220" s="95" t="s">
        <v>264</v>
      </c>
      <c r="E220" s="95" t="s">
        <v>72</v>
      </c>
      <c r="F220" s="63" t="s">
        <v>657</v>
      </c>
      <c r="G220" s="100" t="s">
        <v>482</v>
      </c>
      <c r="H220" s="97" t="s">
        <v>263</v>
      </c>
      <c r="I220" s="97" t="s">
        <v>118</v>
      </c>
      <c r="J220" s="95">
        <v>3492</v>
      </c>
      <c r="K220" s="100" t="s">
        <v>482</v>
      </c>
      <c r="L220" s="100" t="s">
        <v>234</v>
      </c>
    </row>
    <row r="221" spans="1:12" ht="14.45" customHeight="1" x14ac:dyDescent="0.25">
      <c r="C221" s="103">
        <v>3330</v>
      </c>
      <c r="D221" s="95" t="s">
        <v>262</v>
      </c>
      <c r="E221" s="95" t="s">
        <v>2</v>
      </c>
      <c r="F221" s="63" t="s">
        <v>205</v>
      </c>
      <c r="G221" s="97" t="s">
        <v>131</v>
      </c>
      <c r="H221" s="97" t="s">
        <v>236</v>
      </c>
      <c r="I221" s="97" t="s">
        <v>65</v>
      </c>
      <c r="J221" s="95">
        <v>3044</v>
      </c>
      <c r="K221" s="95">
        <v>1596</v>
      </c>
      <c r="L221" s="5" t="s">
        <v>226</v>
      </c>
    </row>
    <row r="222" spans="1:12" ht="14.45" customHeight="1" x14ac:dyDescent="0.25">
      <c r="C222" s="145">
        <v>3189</v>
      </c>
      <c r="D222" s="146" t="s">
        <v>162</v>
      </c>
      <c r="E222" s="146" t="s">
        <v>29</v>
      </c>
      <c r="F222" s="51" t="s">
        <v>162</v>
      </c>
      <c r="G222" s="51" t="s">
        <v>126</v>
      </c>
      <c r="H222" s="97" t="s">
        <v>48</v>
      </c>
      <c r="I222" s="97" t="s">
        <v>84</v>
      </c>
      <c r="J222" s="95">
        <v>3189</v>
      </c>
      <c r="K222" s="95">
        <v>3052</v>
      </c>
      <c r="L222" s="5" t="s">
        <v>232</v>
      </c>
    </row>
    <row r="223" spans="1:12" ht="14.45" customHeight="1" x14ac:dyDescent="0.25">
      <c r="C223" s="103">
        <v>3321</v>
      </c>
      <c r="D223" s="95" t="s">
        <v>261</v>
      </c>
      <c r="E223" s="95" t="s">
        <v>23</v>
      </c>
      <c r="F223" s="97" t="s">
        <v>161</v>
      </c>
      <c r="G223" s="109" t="s">
        <v>126</v>
      </c>
      <c r="H223" s="97" t="s">
        <v>22</v>
      </c>
      <c r="I223" s="97" t="s">
        <v>84</v>
      </c>
      <c r="J223" s="110">
        <v>3265</v>
      </c>
      <c r="K223" s="97">
        <v>3052</v>
      </c>
      <c r="L223" s="5" t="s">
        <v>232</v>
      </c>
    </row>
    <row r="224" spans="1:12" ht="14.45" customHeight="1" x14ac:dyDescent="0.25">
      <c r="C224" s="103">
        <v>3327</v>
      </c>
      <c r="D224" s="95" t="s">
        <v>260</v>
      </c>
      <c r="E224" s="95" t="s">
        <v>38</v>
      </c>
      <c r="F224" s="63" t="s">
        <v>183</v>
      </c>
      <c r="G224" s="100" t="s">
        <v>482</v>
      </c>
      <c r="H224" s="97" t="s">
        <v>37</v>
      </c>
      <c r="I224" s="97" t="s">
        <v>118</v>
      </c>
      <c r="J224" s="95">
        <v>1603</v>
      </c>
      <c r="K224" s="100" t="s">
        <v>482</v>
      </c>
      <c r="L224" s="100" t="s">
        <v>234</v>
      </c>
    </row>
    <row r="225" spans="3:12" ht="14.45" customHeight="1" x14ac:dyDescent="0.25">
      <c r="C225" s="103">
        <v>3322</v>
      </c>
      <c r="D225" s="95" t="s">
        <v>259</v>
      </c>
      <c r="E225" s="95" t="s">
        <v>9</v>
      </c>
      <c r="F225" s="51" t="s">
        <v>167</v>
      </c>
      <c r="G225" s="63" t="s">
        <v>125</v>
      </c>
      <c r="H225" s="51" t="s">
        <v>35</v>
      </c>
      <c r="I225" s="63" t="s">
        <v>78</v>
      </c>
      <c r="J225" s="95">
        <v>3275</v>
      </c>
      <c r="K225" s="95">
        <v>3256</v>
      </c>
      <c r="L225" s="5" t="s">
        <v>226</v>
      </c>
    </row>
    <row r="226" spans="3:12" ht="14.45" customHeight="1" x14ac:dyDescent="0.25">
      <c r="C226" s="103">
        <v>3324</v>
      </c>
      <c r="D226" s="95" t="s">
        <v>258</v>
      </c>
      <c r="E226" s="95" t="s">
        <v>23</v>
      </c>
      <c r="F226" s="97" t="s">
        <v>161</v>
      </c>
      <c r="G226" s="109" t="s">
        <v>126</v>
      </c>
      <c r="H226" s="97" t="s">
        <v>22</v>
      </c>
      <c r="I226" s="97" t="s">
        <v>84</v>
      </c>
      <c r="J226" s="110">
        <v>3265</v>
      </c>
      <c r="K226" s="97">
        <v>3052</v>
      </c>
      <c r="L226" s="5" t="s">
        <v>232</v>
      </c>
    </row>
    <row r="227" spans="3:12" ht="14.45" customHeight="1" x14ac:dyDescent="0.25">
      <c r="C227" s="103">
        <v>3317</v>
      </c>
      <c r="D227" s="95" t="s">
        <v>257</v>
      </c>
      <c r="E227" s="95" t="s">
        <v>46</v>
      </c>
      <c r="F227" s="51" t="s">
        <v>156</v>
      </c>
      <c r="G227" s="109" t="s">
        <v>126</v>
      </c>
      <c r="H227" s="97" t="s">
        <v>16</v>
      </c>
      <c r="I227" s="97" t="s">
        <v>84</v>
      </c>
      <c r="J227" s="51">
        <v>3286</v>
      </c>
      <c r="K227" s="97">
        <v>3052</v>
      </c>
      <c r="L227" s="5" t="s">
        <v>232</v>
      </c>
    </row>
    <row r="228" spans="3:12" ht="14.45" customHeight="1" x14ac:dyDescent="0.25">
      <c r="C228" s="103">
        <v>3341</v>
      </c>
      <c r="D228" s="95" t="s">
        <v>256</v>
      </c>
      <c r="E228" s="95" t="s">
        <v>3</v>
      </c>
      <c r="F228" s="63" t="s">
        <v>500</v>
      </c>
      <c r="G228" s="100" t="s">
        <v>482</v>
      </c>
      <c r="H228" s="95" t="s">
        <v>15</v>
      </c>
      <c r="I228" s="97" t="s">
        <v>118</v>
      </c>
      <c r="J228" s="95">
        <v>1639</v>
      </c>
      <c r="K228" s="100" t="s">
        <v>482</v>
      </c>
      <c r="L228" s="100" t="s">
        <v>234</v>
      </c>
    </row>
    <row r="229" spans="3:12" ht="14.45" customHeight="1" x14ac:dyDescent="0.25">
      <c r="C229" s="103">
        <v>3134</v>
      </c>
      <c r="D229" s="95" t="s">
        <v>170</v>
      </c>
      <c r="E229" s="95" t="s">
        <v>36</v>
      </c>
      <c r="F229" s="63" t="s">
        <v>170</v>
      </c>
      <c r="G229" s="63" t="s">
        <v>125</v>
      </c>
      <c r="H229" s="51" t="s">
        <v>35</v>
      </c>
      <c r="I229" s="63" t="s">
        <v>78</v>
      </c>
      <c r="J229" s="95">
        <v>3134</v>
      </c>
      <c r="K229" s="95">
        <v>3256</v>
      </c>
      <c r="L229" s="5" t="s">
        <v>226</v>
      </c>
    </row>
    <row r="230" spans="3:12" ht="14.45" customHeight="1" x14ac:dyDescent="0.25">
      <c r="C230" s="103">
        <v>3347</v>
      </c>
      <c r="D230" s="95" t="s">
        <v>255</v>
      </c>
      <c r="E230" s="95" t="s">
        <v>3</v>
      </c>
      <c r="F230" s="63" t="s">
        <v>500</v>
      </c>
      <c r="G230" s="100" t="s">
        <v>482</v>
      </c>
      <c r="H230" s="95" t="s">
        <v>15</v>
      </c>
      <c r="I230" s="97" t="s">
        <v>118</v>
      </c>
      <c r="J230" s="95">
        <v>1639</v>
      </c>
      <c r="K230" s="100" t="s">
        <v>482</v>
      </c>
      <c r="L230" s="100" t="s">
        <v>234</v>
      </c>
    </row>
    <row r="231" spans="3:12" ht="14.45" customHeight="1" x14ac:dyDescent="0.25">
      <c r="C231" s="103">
        <v>3334</v>
      </c>
      <c r="D231" s="95" t="s">
        <v>254</v>
      </c>
      <c r="E231" s="95" t="s">
        <v>4</v>
      </c>
      <c r="F231" s="97" t="s">
        <v>221</v>
      </c>
      <c r="G231" s="99" t="s">
        <v>130</v>
      </c>
      <c r="H231" s="67" t="s">
        <v>80</v>
      </c>
      <c r="I231" s="97" t="s">
        <v>70</v>
      </c>
      <c r="J231" s="51">
        <v>1439</v>
      </c>
      <c r="K231" s="95">
        <v>1463</v>
      </c>
      <c r="L231" s="5" t="s">
        <v>226</v>
      </c>
    </row>
    <row r="232" spans="3:12" x14ac:dyDescent="0.25">
      <c r="C232" s="108">
        <v>3345</v>
      </c>
      <c r="D232" s="104" t="s">
        <v>253</v>
      </c>
      <c r="E232" s="104" t="s">
        <v>60</v>
      </c>
      <c r="F232" s="107" t="s">
        <v>208</v>
      </c>
      <c r="G232" s="107" t="s">
        <v>132</v>
      </c>
      <c r="H232" s="106" t="s">
        <v>31</v>
      </c>
      <c r="I232" s="105" t="s">
        <v>65</v>
      </c>
      <c r="J232" s="104">
        <v>1835</v>
      </c>
      <c r="K232" s="104">
        <v>1766</v>
      </c>
      <c r="L232" s="5" t="s">
        <v>234</v>
      </c>
    </row>
    <row r="233" spans="3:12" ht="14.45" customHeight="1" x14ac:dyDescent="0.25">
      <c r="C233" s="12">
        <v>3329</v>
      </c>
      <c r="D233" s="5" t="s">
        <v>252</v>
      </c>
      <c r="E233" s="5" t="s">
        <v>79</v>
      </c>
      <c r="F233" s="51" t="s">
        <v>470</v>
      </c>
      <c r="G233" s="97" t="s">
        <v>133</v>
      </c>
      <c r="H233" s="97" t="s">
        <v>31</v>
      </c>
      <c r="I233" s="67" t="s">
        <v>34</v>
      </c>
      <c r="J233" s="51">
        <v>3426</v>
      </c>
      <c r="K233" s="95">
        <v>1140</v>
      </c>
      <c r="L233" s="5" t="s">
        <v>234</v>
      </c>
    </row>
    <row r="234" spans="3:12" ht="14.45" customHeight="1" x14ac:dyDescent="0.25">
      <c r="C234" s="12">
        <v>3343</v>
      </c>
      <c r="D234" s="5" t="s">
        <v>217</v>
      </c>
      <c r="E234" s="5" t="s">
        <v>43</v>
      </c>
      <c r="F234" s="63" t="s">
        <v>217</v>
      </c>
      <c r="G234" s="99" t="s">
        <v>135</v>
      </c>
      <c r="H234" s="97" t="s">
        <v>42</v>
      </c>
      <c r="I234" s="97" t="s">
        <v>70</v>
      </c>
      <c r="J234" s="95">
        <v>3343</v>
      </c>
      <c r="K234" s="95">
        <v>1449</v>
      </c>
      <c r="L234" s="5" t="s">
        <v>234</v>
      </c>
    </row>
    <row r="235" spans="3:12" ht="14.45" customHeight="1" x14ac:dyDescent="0.25">
      <c r="C235" s="12">
        <v>3326</v>
      </c>
      <c r="D235" s="5" t="s">
        <v>251</v>
      </c>
      <c r="E235" s="5" t="s">
        <v>38</v>
      </c>
      <c r="F235" s="63" t="s">
        <v>183</v>
      </c>
      <c r="G235" s="100" t="s">
        <v>482</v>
      </c>
      <c r="H235" s="97" t="s">
        <v>37</v>
      </c>
      <c r="I235" s="97" t="s">
        <v>118</v>
      </c>
      <c r="J235" s="95">
        <v>1603</v>
      </c>
      <c r="K235" s="100" t="s">
        <v>482</v>
      </c>
      <c r="L235" s="100" t="s">
        <v>234</v>
      </c>
    </row>
    <row r="236" spans="3:12" ht="14.45" customHeight="1" x14ac:dyDescent="0.25">
      <c r="C236" s="12">
        <v>3351</v>
      </c>
      <c r="D236" s="5" t="s">
        <v>250</v>
      </c>
      <c r="E236" s="5" t="s">
        <v>29</v>
      </c>
      <c r="F236" s="51" t="s">
        <v>162</v>
      </c>
      <c r="G236" s="51" t="s">
        <v>126</v>
      </c>
      <c r="H236" s="97" t="s">
        <v>48</v>
      </c>
      <c r="I236" s="97" t="s">
        <v>84</v>
      </c>
      <c r="J236" s="95">
        <v>3189</v>
      </c>
      <c r="K236" s="95">
        <v>3052</v>
      </c>
      <c r="L236" s="5" t="s">
        <v>232</v>
      </c>
    </row>
    <row r="237" spans="3:12" ht="14.45" customHeight="1" x14ac:dyDescent="0.25">
      <c r="C237" s="12">
        <v>3342</v>
      </c>
      <c r="D237" s="5" t="s">
        <v>249</v>
      </c>
      <c r="E237" s="5" t="s">
        <v>57</v>
      </c>
      <c r="F237" s="63" t="s">
        <v>172</v>
      </c>
      <c r="G237" s="63" t="s">
        <v>129</v>
      </c>
      <c r="H237" s="97" t="s">
        <v>231</v>
      </c>
      <c r="I237" s="97" t="s">
        <v>118</v>
      </c>
      <c r="J237" s="95">
        <v>1983</v>
      </c>
      <c r="K237" s="95">
        <v>1447</v>
      </c>
      <c r="L237" s="5" t="s">
        <v>226</v>
      </c>
    </row>
    <row r="238" spans="3:12" ht="14.45" customHeight="1" x14ac:dyDescent="0.25">
      <c r="C238" s="12">
        <v>3337</v>
      </c>
      <c r="D238" s="5" t="s">
        <v>177</v>
      </c>
      <c r="E238" s="5" t="s">
        <v>24</v>
      </c>
      <c r="F238" s="51" t="s">
        <v>177</v>
      </c>
      <c r="G238" s="63" t="s">
        <v>129</v>
      </c>
      <c r="H238" s="97" t="s">
        <v>231</v>
      </c>
      <c r="I238" s="97" t="s">
        <v>118</v>
      </c>
      <c r="J238" s="51">
        <v>3337</v>
      </c>
      <c r="K238" s="95">
        <v>1447</v>
      </c>
      <c r="L238" s="5" t="s">
        <v>226</v>
      </c>
    </row>
    <row r="239" spans="3:12" ht="14.45" customHeight="1" x14ac:dyDescent="0.25">
      <c r="C239" s="12">
        <v>3348</v>
      </c>
      <c r="D239" s="5" t="s">
        <v>248</v>
      </c>
      <c r="E239" s="5" t="s">
        <v>36</v>
      </c>
      <c r="F239" s="63" t="s">
        <v>170</v>
      </c>
      <c r="G239" s="63" t="s">
        <v>125</v>
      </c>
      <c r="H239" s="51" t="s">
        <v>35</v>
      </c>
      <c r="I239" s="63" t="s">
        <v>78</v>
      </c>
      <c r="J239" s="95">
        <v>3134</v>
      </c>
      <c r="K239" s="95">
        <v>3256</v>
      </c>
      <c r="L239" s="5" t="s">
        <v>226</v>
      </c>
    </row>
    <row r="240" spans="3:12" ht="14.45" customHeight="1" x14ac:dyDescent="0.25">
      <c r="C240" s="12">
        <v>3365</v>
      </c>
      <c r="D240" s="5" t="s">
        <v>247</v>
      </c>
      <c r="E240" s="5" t="s">
        <v>68</v>
      </c>
      <c r="F240" s="63" t="s">
        <v>214</v>
      </c>
      <c r="G240" s="99" t="s">
        <v>135</v>
      </c>
      <c r="H240" s="95" t="s">
        <v>42</v>
      </c>
      <c r="I240" s="97" t="s">
        <v>70</v>
      </c>
      <c r="J240" s="95">
        <v>3120</v>
      </c>
      <c r="K240" s="95">
        <v>1449</v>
      </c>
      <c r="L240" s="5" t="s">
        <v>234</v>
      </c>
    </row>
    <row r="241" spans="3:12" ht="14.45" customHeight="1" x14ac:dyDescent="0.25">
      <c r="C241" s="12">
        <v>3376</v>
      </c>
      <c r="D241" s="5" t="s">
        <v>246</v>
      </c>
      <c r="E241" s="5" t="s">
        <v>43</v>
      </c>
      <c r="F241" s="63" t="s">
        <v>217</v>
      </c>
      <c r="G241" s="99" t="s">
        <v>135</v>
      </c>
      <c r="H241" s="97" t="s">
        <v>42</v>
      </c>
      <c r="I241" s="97" t="s">
        <v>70</v>
      </c>
      <c r="J241" s="95">
        <v>3343</v>
      </c>
      <c r="K241" s="95">
        <v>1449</v>
      </c>
      <c r="L241" s="5" t="s">
        <v>234</v>
      </c>
    </row>
    <row r="242" spans="3:12" ht="14.45" customHeight="1" x14ac:dyDescent="0.25">
      <c r="C242" s="12">
        <v>3340</v>
      </c>
      <c r="D242" s="5" t="s">
        <v>245</v>
      </c>
      <c r="E242" s="5" t="s">
        <v>63</v>
      </c>
      <c r="F242" s="51" t="s">
        <v>168</v>
      </c>
      <c r="G242" s="63" t="s">
        <v>125</v>
      </c>
      <c r="H242" s="97" t="s">
        <v>42</v>
      </c>
      <c r="I242" s="63" t="s">
        <v>78</v>
      </c>
      <c r="J242" s="51">
        <v>3301</v>
      </c>
      <c r="K242" s="95">
        <v>3256</v>
      </c>
      <c r="L242" s="5" t="s">
        <v>226</v>
      </c>
    </row>
    <row r="243" spans="3:12" ht="14.45" customHeight="1" x14ac:dyDescent="0.25">
      <c r="C243" s="12">
        <v>3377</v>
      </c>
      <c r="D243" s="5" t="s">
        <v>244</v>
      </c>
      <c r="E243" s="5" t="s">
        <v>36</v>
      </c>
      <c r="F243" s="63" t="s">
        <v>170</v>
      </c>
      <c r="G243" s="63" t="s">
        <v>125</v>
      </c>
      <c r="H243" s="51" t="s">
        <v>35</v>
      </c>
      <c r="I243" s="63" t="s">
        <v>78</v>
      </c>
      <c r="J243" s="95">
        <v>3134</v>
      </c>
      <c r="K243" s="95">
        <v>3256</v>
      </c>
      <c r="L243" s="5" t="s">
        <v>226</v>
      </c>
    </row>
    <row r="244" spans="3:12" ht="14.45" customHeight="1" x14ac:dyDescent="0.25">
      <c r="C244" s="12">
        <v>3375</v>
      </c>
      <c r="D244" s="5" t="s">
        <v>243</v>
      </c>
      <c r="E244" s="5" t="s">
        <v>71</v>
      </c>
      <c r="F244" s="51" t="s">
        <v>190</v>
      </c>
      <c r="G244" s="101" t="s">
        <v>655</v>
      </c>
      <c r="H244" s="97" t="s">
        <v>49</v>
      </c>
      <c r="I244" s="97" t="s">
        <v>118</v>
      </c>
      <c r="J244" s="95">
        <v>3031</v>
      </c>
      <c r="K244" s="101">
        <v>3490</v>
      </c>
      <c r="L244" s="100" t="s">
        <v>226</v>
      </c>
    </row>
    <row r="245" spans="3:12" ht="14.45" customHeight="1" x14ac:dyDescent="0.25">
      <c r="C245" s="103">
        <v>3313</v>
      </c>
      <c r="D245" s="95" t="s">
        <v>242</v>
      </c>
      <c r="E245" s="95" t="s">
        <v>14</v>
      </c>
      <c r="F245" s="63" t="s">
        <v>160</v>
      </c>
      <c r="G245" s="100" t="s">
        <v>128</v>
      </c>
      <c r="H245" s="97" t="s">
        <v>48</v>
      </c>
      <c r="I245" s="97" t="s">
        <v>84</v>
      </c>
      <c r="J245" s="95" t="s">
        <v>483</v>
      </c>
      <c r="K245" s="100" t="s">
        <v>128</v>
      </c>
      <c r="L245" s="5" t="s">
        <v>232</v>
      </c>
    </row>
    <row r="246" spans="3:12" ht="14.45" customHeight="1" x14ac:dyDescent="0.25">
      <c r="C246" s="12">
        <v>3394</v>
      </c>
      <c r="D246" s="102" t="s">
        <v>241</v>
      </c>
      <c r="E246" s="5" t="s">
        <v>68</v>
      </c>
      <c r="F246" s="63" t="s">
        <v>214</v>
      </c>
      <c r="G246" s="99" t="s">
        <v>135</v>
      </c>
      <c r="H246" s="95" t="s">
        <v>42</v>
      </c>
      <c r="I246" s="97" t="s">
        <v>70</v>
      </c>
      <c r="J246" s="95">
        <v>3120</v>
      </c>
      <c r="K246" s="95">
        <v>1449</v>
      </c>
      <c r="L246" s="5" t="s">
        <v>234</v>
      </c>
    </row>
    <row r="247" spans="3:12" ht="14.45" customHeight="1" x14ac:dyDescent="0.25">
      <c r="C247" s="12">
        <v>3388</v>
      </c>
      <c r="D247" s="5" t="s">
        <v>176</v>
      </c>
      <c r="E247" s="5" t="s">
        <v>56</v>
      </c>
      <c r="F247" s="5" t="s">
        <v>176</v>
      </c>
      <c r="G247" s="58" t="s">
        <v>127</v>
      </c>
      <c r="H247" s="98" t="s">
        <v>129</v>
      </c>
      <c r="I247" s="97" t="s">
        <v>118</v>
      </c>
      <c r="J247" s="12">
        <v>3388</v>
      </c>
      <c r="K247" s="58">
        <v>1772</v>
      </c>
      <c r="L247" s="5" t="s">
        <v>226</v>
      </c>
    </row>
    <row r="248" spans="3:12" ht="14.45" customHeight="1" x14ac:dyDescent="0.25">
      <c r="C248" s="12">
        <v>3391</v>
      </c>
      <c r="D248" s="5" t="s">
        <v>240</v>
      </c>
      <c r="E248" s="5" t="s">
        <v>50</v>
      </c>
      <c r="F248" s="63" t="s">
        <v>188</v>
      </c>
      <c r="G248" s="101" t="s">
        <v>655</v>
      </c>
      <c r="H248" s="97" t="s">
        <v>49</v>
      </c>
      <c r="I248" s="97" t="s">
        <v>118</v>
      </c>
      <c r="J248" s="51">
        <v>3235</v>
      </c>
      <c r="K248" s="101">
        <v>3490</v>
      </c>
      <c r="L248" s="100" t="s">
        <v>226</v>
      </c>
    </row>
    <row r="249" spans="3:12" ht="14.45" customHeight="1" x14ac:dyDescent="0.25">
      <c r="C249" s="12">
        <v>3389</v>
      </c>
      <c r="D249" s="5" t="s">
        <v>239</v>
      </c>
      <c r="E249" s="5" t="s">
        <v>5</v>
      </c>
      <c r="F249" s="58" t="s">
        <v>181</v>
      </c>
      <c r="G249" s="63" t="s">
        <v>129</v>
      </c>
      <c r="H249" s="97" t="s">
        <v>61</v>
      </c>
      <c r="I249" s="97" t="s">
        <v>118</v>
      </c>
      <c r="J249" s="58">
        <v>3380</v>
      </c>
      <c r="K249" s="95">
        <v>1447</v>
      </c>
      <c r="L249" s="5" t="s">
        <v>226</v>
      </c>
    </row>
    <row r="250" spans="3:12" ht="14.45" customHeight="1" x14ac:dyDescent="0.25">
      <c r="C250" s="12">
        <v>3374</v>
      </c>
      <c r="D250" s="5" t="s">
        <v>238</v>
      </c>
      <c r="E250" s="5" t="s">
        <v>24</v>
      </c>
      <c r="F250" s="51" t="s">
        <v>177</v>
      </c>
      <c r="G250" s="63" t="s">
        <v>129</v>
      </c>
      <c r="H250" s="97" t="s">
        <v>231</v>
      </c>
      <c r="I250" s="97" t="s">
        <v>118</v>
      </c>
      <c r="J250" s="51">
        <v>3337</v>
      </c>
      <c r="K250" s="95">
        <v>1447</v>
      </c>
      <c r="L250" s="5" t="s">
        <v>226</v>
      </c>
    </row>
    <row r="251" spans="3:12" ht="14.45" customHeight="1" x14ac:dyDescent="0.25">
      <c r="C251" s="12">
        <v>3397</v>
      </c>
      <c r="D251" s="5" t="s">
        <v>237</v>
      </c>
      <c r="E251" s="5" t="s">
        <v>69</v>
      </c>
      <c r="F251" s="63" t="s">
        <v>211</v>
      </c>
      <c r="G251" s="97" t="s">
        <v>131</v>
      </c>
      <c r="H251" s="97" t="s">
        <v>236</v>
      </c>
      <c r="I251" s="97" t="s">
        <v>65</v>
      </c>
      <c r="J251" s="95">
        <v>1606</v>
      </c>
      <c r="K251" s="95">
        <v>1596</v>
      </c>
      <c r="L251" s="5" t="s">
        <v>226</v>
      </c>
    </row>
    <row r="252" spans="3:12" x14ac:dyDescent="0.25">
      <c r="C252" s="12">
        <v>3346</v>
      </c>
      <c r="D252" s="5" t="s">
        <v>235</v>
      </c>
      <c r="E252" s="5" t="s">
        <v>60</v>
      </c>
      <c r="F252" s="63" t="s">
        <v>207</v>
      </c>
      <c r="G252" s="63" t="s">
        <v>132</v>
      </c>
      <c r="H252" s="97" t="s">
        <v>31</v>
      </c>
      <c r="I252" s="67" t="s">
        <v>65</v>
      </c>
      <c r="J252" s="95">
        <v>3072</v>
      </c>
      <c r="K252" s="95">
        <v>1766</v>
      </c>
      <c r="L252" s="5" t="s">
        <v>234</v>
      </c>
    </row>
    <row r="253" spans="3:12" ht="14.45" customHeight="1" x14ac:dyDescent="0.25">
      <c r="C253" s="12">
        <v>3405</v>
      </c>
      <c r="D253" s="5" t="s">
        <v>233</v>
      </c>
      <c r="E253" s="5" t="s">
        <v>29</v>
      </c>
      <c r="F253" s="51" t="s">
        <v>162</v>
      </c>
      <c r="G253" s="51" t="s">
        <v>126</v>
      </c>
      <c r="H253" s="97" t="s">
        <v>48</v>
      </c>
      <c r="I253" s="97" t="s">
        <v>84</v>
      </c>
      <c r="J253" s="95">
        <v>3189</v>
      </c>
      <c r="K253" s="95">
        <v>3052</v>
      </c>
      <c r="L253" s="5" t="s">
        <v>232</v>
      </c>
    </row>
    <row r="254" spans="3:12" ht="14.45" customHeight="1" x14ac:dyDescent="0.25">
      <c r="C254" s="12">
        <v>3390</v>
      </c>
      <c r="D254" s="5" t="s">
        <v>188</v>
      </c>
      <c r="E254" s="5" t="s">
        <v>6</v>
      </c>
      <c r="F254" s="97" t="s">
        <v>173</v>
      </c>
      <c r="G254" s="63" t="s">
        <v>129</v>
      </c>
      <c r="H254" s="97" t="s">
        <v>231</v>
      </c>
      <c r="I254" s="97" t="s">
        <v>118</v>
      </c>
      <c r="J254" s="95">
        <v>3237</v>
      </c>
      <c r="K254" s="95">
        <v>1447</v>
      </c>
      <c r="L254" s="5" t="s">
        <v>226</v>
      </c>
    </row>
    <row r="255" spans="3:12" ht="14.45" customHeight="1" x14ac:dyDescent="0.25">
      <c r="C255" s="12">
        <v>3396</v>
      </c>
      <c r="D255" s="5" t="s">
        <v>230</v>
      </c>
      <c r="E255" s="5" t="s">
        <v>5</v>
      </c>
      <c r="F255" s="58" t="s">
        <v>181</v>
      </c>
      <c r="G255" s="63" t="s">
        <v>129</v>
      </c>
      <c r="H255" s="97" t="s">
        <v>61</v>
      </c>
      <c r="I255" s="97" t="s">
        <v>118</v>
      </c>
      <c r="J255" s="58">
        <v>3380</v>
      </c>
      <c r="K255" s="95">
        <v>1447</v>
      </c>
      <c r="L255" s="5" t="s">
        <v>226</v>
      </c>
    </row>
    <row r="256" spans="3:12" ht="14.45" customHeight="1" x14ac:dyDescent="0.25">
      <c r="C256" s="12">
        <v>3385</v>
      </c>
      <c r="D256" s="5" t="s">
        <v>174</v>
      </c>
      <c r="E256" s="5" t="s">
        <v>59</v>
      </c>
      <c r="F256" s="5" t="s">
        <v>174</v>
      </c>
      <c r="G256" s="99" t="s">
        <v>127</v>
      </c>
      <c r="H256" s="97" t="s">
        <v>61</v>
      </c>
      <c r="I256" s="97" t="s">
        <v>118</v>
      </c>
      <c r="J256" s="96">
        <v>3385</v>
      </c>
      <c r="K256" s="58">
        <v>1772</v>
      </c>
      <c r="L256" s="5" t="s">
        <v>226</v>
      </c>
    </row>
    <row r="257" spans="3:12" ht="14.45" customHeight="1" x14ac:dyDescent="0.25">
      <c r="C257" s="12">
        <v>3406</v>
      </c>
      <c r="D257" s="5" t="s">
        <v>229</v>
      </c>
      <c r="E257" s="5" t="s">
        <v>56</v>
      </c>
      <c r="F257" s="5" t="s">
        <v>176</v>
      </c>
      <c r="G257" s="58" t="s">
        <v>127</v>
      </c>
      <c r="H257" s="98" t="s">
        <v>129</v>
      </c>
      <c r="I257" s="97" t="s">
        <v>118</v>
      </c>
      <c r="J257" s="12">
        <v>3388</v>
      </c>
      <c r="K257" s="58">
        <v>1772</v>
      </c>
      <c r="L257" s="5" t="s">
        <v>226</v>
      </c>
    </row>
    <row r="258" spans="3:12" ht="14.45" customHeight="1" x14ac:dyDescent="0.25">
      <c r="C258" s="12">
        <v>3409</v>
      </c>
      <c r="D258" s="5" t="s">
        <v>228</v>
      </c>
      <c r="E258" s="5" t="s">
        <v>19</v>
      </c>
      <c r="F258" s="62" t="s">
        <v>200</v>
      </c>
      <c r="G258" s="97" t="s">
        <v>131</v>
      </c>
      <c r="H258" s="97" t="s">
        <v>227</v>
      </c>
      <c r="I258" s="97" t="s">
        <v>65</v>
      </c>
      <c r="J258" s="96">
        <v>3392</v>
      </c>
      <c r="K258" s="95">
        <v>1596</v>
      </c>
      <c r="L258" s="5" t="s">
        <v>226</v>
      </c>
    </row>
    <row r="259" spans="3:12" ht="14.45" customHeight="1" x14ac:dyDescent="0.25">
      <c r="C259" s="12">
        <v>3395</v>
      </c>
      <c r="D259" s="5" t="s">
        <v>189</v>
      </c>
      <c r="E259" s="5" t="s">
        <v>79</v>
      </c>
      <c r="F259" s="51" t="s">
        <v>470</v>
      </c>
      <c r="G259" s="97" t="s">
        <v>133</v>
      </c>
      <c r="H259" s="97" t="s">
        <v>31</v>
      </c>
      <c r="I259" s="67" t="s">
        <v>34</v>
      </c>
      <c r="J259" s="51">
        <v>3426</v>
      </c>
      <c r="K259" s="95">
        <v>1140</v>
      </c>
      <c r="L259" s="5" t="s">
        <v>234</v>
      </c>
    </row>
    <row r="260" spans="3:12" ht="14.45" customHeight="1" x14ac:dyDescent="0.25">
      <c r="C260" s="12">
        <v>3403</v>
      </c>
      <c r="D260" s="5" t="s">
        <v>465</v>
      </c>
      <c r="E260" s="5" t="s">
        <v>23</v>
      </c>
      <c r="F260" s="97" t="s">
        <v>161</v>
      </c>
      <c r="G260" s="109" t="s">
        <v>126</v>
      </c>
      <c r="H260" s="97" t="s">
        <v>22</v>
      </c>
      <c r="I260" s="97" t="s">
        <v>84</v>
      </c>
      <c r="J260" s="110">
        <v>3265</v>
      </c>
      <c r="K260" s="97">
        <v>3052</v>
      </c>
      <c r="L260" s="5" t="s">
        <v>232</v>
      </c>
    </row>
    <row r="261" spans="3:12" ht="14.45" customHeight="1" x14ac:dyDescent="0.25">
      <c r="C261" s="12">
        <v>3398</v>
      </c>
      <c r="D261" s="5" t="s">
        <v>466</v>
      </c>
      <c r="E261" s="5" t="s">
        <v>67</v>
      </c>
      <c r="F261" s="51" t="s">
        <v>171</v>
      </c>
      <c r="G261" s="63" t="s">
        <v>125</v>
      </c>
      <c r="H261" s="51" t="s">
        <v>35</v>
      </c>
      <c r="I261" s="63" t="s">
        <v>78</v>
      </c>
      <c r="J261" s="95">
        <v>3132</v>
      </c>
      <c r="K261" s="95">
        <v>3256</v>
      </c>
      <c r="L261" s="5" t="s">
        <v>226</v>
      </c>
    </row>
    <row r="262" spans="3:12" ht="14.45" customHeight="1" x14ac:dyDescent="0.25">
      <c r="C262" s="12">
        <v>3412</v>
      </c>
      <c r="D262" s="5" t="s">
        <v>468</v>
      </c>
      <c r="E262" s="5" t="s">
        <v>56</v>
      </c>
      <c r="F262" s="5" t="s">
        <v>176</v>
      </c>
      <c r="G262" s="58" t="s">
        <v>127</v>
      </c>
      <c r="H262" s="98" t="s">
        <v>129</v>
      </c>
      <c r="I262" s="97" t="s">
        <v>118</v>
      </c>
      <c r="J262" s="12">
        <v>3388</v>
      </c>
      <c r="K262" s="58">
        <v>1772</v>
      </c>
      <c r="L262" s="5" t="s">
        <v>226</v>
      </c>
    </row>
    <row r="263" spans="3:12" ht="14.45" customHeight="1" x14ac:dyDescent="0.25">
      <c r="C263" s="12">
        <v>3430</v>
      </c>
      <c r="D263" s="5" t="s">
        <v>471</v>
      </c>
      <c r="E263" s="5" t="s">
        <v>81</v>
      </c>
      <c r="F263" s="58" t="s">
        <v>471</v>
      </c>
      <c r="G263" s="99" t="s">
        <v>135</v>
      </c>
      <c r="H263" s="97" t="s">
        <v>42</v>
      </c>
      <c r="I263" s="97" t="s">
        <v>70</v>
      </c>
      <c r="J263" s="58">
        <v>3430</v>
      </c>
      <c r="K263" s="95">
        <v>1449</v>
      </c>
      <c r="L263" s="5" t="s">
        <v>234</v>
      </c>
    </row>
    <row r="264" spans="3:12" ht="14.45" customHeight="1" x14ac:dyDescent="0.25">
      <c r="C264" s="12">
        <v>3437</v>
      </c>
      <c r="D264" s="5" t="s">
        <v>473</v>
      </c>
      <c r="E264" s="5" t="s">
        <v>43</v>
      </c>
      <c r="F264" s="63" t="s">
        <v>217</v>
      </c>
      <c r="G264" s="99" t="s">
        <v>135</v>
      </c>
      <c r="H264" s="97" t="s">
        <v>42</v>
      </c>
      <c r="I264" s="97" t="s">
        <v>70</v>
      </c>
      <c r="J264" s="95">
        <v>3343</v>
      </c>
      <c r="K264" s="95">
        <v>1449</v>
      </c>
      <c r="L264" s="5" t="s">
        <v>234</v>
      </c>
    </row>
    <row r="265" spans="3:12" ht="14.45" customHeight="1" x14ac:dyDescent="0.25">
      <c r="C265" s="12">
        <v>3387</v>
      </c>
      <c r="D265" s="5" t="s">
        <v>474</v>
      </c>
      <c r="E265" s="5" t="s">
        <v>83</v>
      </c>
      <c r="F265" s="63" t="s">
        <v>158</v>
      </c>
      <c r="G265" s="51" t="s">
        <v>126</v>
      </c>
      <c r="H265" s="97" t="s">
        <v>28</v>
      </c>
      <c r="I265" s="97" t="s">
        <v>84</v>
      </c>
      <c r="J265" s="95">
        <v>2071</v>
      </c>
      <c r="K265" s="95">
        <v>3052</v>
      </c>
      <c r="L265" s="5" t="s">
        <v>232</v>
      </c>
    </row>
    <row r="266" spans="3:12" ht="14.45" customHeight="1" x14ac:dyDescent="0.25">
      <c r="C266" s="12">
        <v>3407</v>
      </c>
      <c r="D266" s="5" t="s">
        <v>476</v>
      </c>
      <c r="E266" s="5" t="s">
        <v>475</v>
      </c>
      <c r="F266" s="63" t="s">
        <v>477</v>
      </c>
      <c r="G266" s="100" t="s">
        <v>482</v>
      </c>
      <c r="H266" s="95" t="s">
        <v>15</v>
      </c>
      <c r="I266" s="97" t="s">
        <v>118</v>
      </c>
      <c r="J266" s="95">
        <v>3384</v>
      </c>
      <c r="K266" s="100" t="s">
        <v>482</v>
      </c>
      <c r="L266" s="100" t="s">
        <v>234</v>
      </c>
    </row>
    <row r="267" spans="3:12" ht="14.45" customHeight="1" x14ac:dyDescent="0.25">
      <c r="C267" s="12">
        <v>3378</v>
      </c>
      <c r="D267" s="5" t="s">
        <v>246</v>
      </c>
      <c r="E267" s="5" t="s">
        <v>36</v>
      </c>
      <c r="F267" s="63" t="s">
        <v>170</v>
      </c>
      <c r="G267" s="63" t="s">
        <v>125</v>
      </c>
      <c r="H267" s="51" t="s">
        <v>35</v>
      </c>
      <c r="I267" s="63" t="s">
        <v>78</v>
      </c>
      <c r="J267" s="95">
        <v>3134</v>
      </c>
      <c r="K267" s="95">
        <v>3256</v>
      </c>
      <c r="L267" s="5" t="s">
        <v>226</v>
      </c>
    </row>
    <row r="268" spans="3:12" ht="15.6" customHeight="1" x14ac:dyDescent="0.25">
      <c r="C268" s="12">
        <v>3433</v>
      </c>
      <c r="D268" s="5" t="s">
        <v>480</v>
      </c>
      <c r="E268" s="5" t="s">
        <v>478</v>
      </c>
      <c r="F268" s="147" t="s">
        <v>511</v>
      </c>
      <c r="G268" s="5" t="s">
        <v>135</v>
      </c>
      <c r="H268" s="97" t="s">
        <v>42</v>
      </c>
      <c r="I268" s="97" t="s">
        <v>70</v>
      </c>
      <c r="J268" s="147">
        <v>3465</v>
      </c>
      <c r="K268" s="95">
        <v>1449</v>
      </c>
      <c r="L268" s="5" t="s">
        <v>234</v>
      </c>
    </row>
    <row r="269" spans="3:12" ht="14.45" customHeight="1" x14ac:dyDescent="0.25">
      <c r="C269" s="12">
        <v>3408</v>
      </c>
      <c r="D269" s="5" t="s">
        <v>479</v>
      </c>
      <c r="E269" s="5" t="s">
        <v>475</v>
      </c>
      <c r="F269" s="63" t="s">
        <v>477</v>
      </c>
      <c r="G269" s="100" t="s">
        <v>482</v>
      </c>
      <c r="H269" s="95" t="s">
        <v>15</v>
      </c>
      <c r="I269" s="97" t="s">
        <v>118</v>
      </c>
      <c r="J269" s="95">
        <v>3384</v>
      </c>
      <c r="K269" s="100" t="s">
        <v>482</v>
      </c>
      <c r="L269" s="100" t="s">
        <v>234</v>
      </c>
    </row>
    <row r="270" spans="3:12" ht="15.6" customHeight="1" x14ac:dyDescent="0.25">
      <c r="C270" s="12">
        <v>3425</v>
      </c>
      <c r="D270" s="5" t="s">
        <v>484</v>
      </c>
      <c r="E270" s="5" t="s">
        <v>478</v>
      </c>
      <c r="F270" s="147" t="s">
        <v>511</v>
      </c>
      <c r="G270" s="5" t="s">
        <v>135</v>
      </c>
      <c r="H270" s="97" t="s">
        <v>42</v>
      </c>
      <c r="I270" s="97" t="s">
        <v>70</v>
      </c>
      <c r="J270" s="147">
        <v>3465</v>
      </c>
      <c r="K270" s="95">
        <v>1449</v>
      </c>
      <c r="L270" s="5" t="s">
        <v>234</v>
      </c>
    </row>
    <row r="271" spans="3:12" ht="14.45" customHeight="1" x14ac:dyDescent="0.25">
      <c r="C271" s="139">
        <v>3180</v>
      </c>
      <c r="D271" s="5" t="s">
        <v>206</v>
      </c>
      <c r="E271" s="5" t="s">
        <v>33</v>
      </c>
      <c r="F271" s="140" t="s">
        <v>206</v>
      </c>
      <c r="G271" s="141" t="s">
        <v>131</v>
      </c>
      <c r="H271" s="141" t="s">
        <v>236</v>
      </c>
      <c r="I271" s="141" t="s">
        <v>65</v>
      </c>
      <c r="J271" s="142">
        <v>3180</v>
      </c>
      <c r="K271" s="142">
        <v>1596</v>
      </c>
      <c r="L271" s="143" t="s">
        <v>226</v>
      </c>
    </row>
    <row r="272" spans="3:12" ht="14.45" customHeight="1" x14ac:dyDescent="0.25">
      <c r="C272" s="12">
        <v>3411</v>
      </c>
      <c r="D272" s="5" t="s">
        <v>486</v>
      </c>
      <c r="E272" s="5" t="s">
        <v>485</v>
      </c>
      <c r="F272" s="137" t="s">
        <v>487</v>
      </c>
      <c r="G272" s="138" t="s">
        <v>126</v>
      </c>
      <c r="H272" s="97" t="s">
        <v>28</v>
      </c>
      <c r="I272" s="5" t="s">
        <v>84</v>
      </c>
      <c r="J272" s="137">
        <v>3373</v>
      </c>
      <c r="K272" s="95">
        <v>3052</v>
      </c>
      <c r="L272" s="138" t="s">
        <v>232</v>
      </c>
    </row>
    <row r="273" spans="3:12" ht="14.45" customHeight="1" x14ac:dyDescent="0.25">
      <c r="C273" s="12">
        <v>3440</v>
      </c>
      <c r="D273" s="5" t="s">
        <v>312</v>
      </c>
      <c r="E273" s="63" t="s">
        <v>178</v>
      </c>
      <c r="F273" s="63" t="s">
        <v>179</v>
      </c>
      <c r="G273" s="97" t="s">
        <v>129</v>
      </c>
      <c r="H273" s="97" t="s">
        <v>58</v>
      </c>
      <c r="I273" s="97" t="s">
        <v>118</v>
      </c>
      <c r="J273" s="95">
        <v>1762</v>
      </c>
      <c r="K273" s="95">
        <v>1447</v>
      </c>
      <c r="L273" s="5" t="s">
        <v>226</v>
      </c>
    </row>
    <row r="274" spans="3:12" ht="14.45" customHeight="1" x14ac:dyDescent="0.25">
      <c r="C274" s="12">
        <v>3452</v>
      </c>
      <c r="D274" s="5" t="s">
        <v>490</v>
      </c>
      <c r="E274" s="5" t="s">
        <v>25</v>
      </c>
      <c r="F274" s="51" t="s">
        <v>166</v>
      </c>
      <c r="G274" s="63" t="s">
        <v>125</v>
      </c>
      <c r="H274" s="95" t="s">
        <v>39</v>
      </c>
      <c r="I274" s="63" t="s">
        <v>78</v>
      </c>
      <c r="J274" s="95">
        <v>3145</v>
      </c>
      <c r="K274" s="95">
        <v>3256</v>
      </c>
      <c r="L274" s="5" t="s">
        <v>226</v>
      </c>
    </row>
    <row r="275" spans="3:12" ht="14.45" customHeight="1" x14ac:dyDescent="0.25">
      <c r="C275" s="12">
        <v>3441</v>
      </c>
      <c r="D275" s="5" t="s">
        <v>491</v>
      </c>
      <c r="E275" s="5" t="s">
        <v>81</v>
      </c>
      <c r="F275" s="58" t="s">
        <v>471</v>
      </c>
      <c r="G275" s="99" t="s">
        <v>135</v>
      </c>
      <c r="H275" s="97" t="s">
        <v>42</v>
      </c>
      <c r="I275" s="97" t="s">
        <v>70</v>
      </c>
      <c r="J275" s="58">
        <v>3430</v>
      </c>
      <c r="K275" s="95">
        <v>1449</v>
      </c>
      <c r="L275" s="5" t="s">
        <v>234</v>
      </c>
    </row>
    <row r="276" spans="3:12" ht="14.45" customHeight="1" x14ac:dyDescent="0.25">
      <c r="C276" s="12">
        <v>3448</v>
      </c>
      <c r="D276" s="5" t="s">
        <v>492</v>
      </c>
      <c r="E276" s="5" t="s">
        <v>59</v>
      </c>
      <c r="F276" s="5" t="s">
        <v>174</v>
      </c>
      <c r="G276" s="99" t="s">
        <v>127</v>
      </c>
      <c r="H276" s="97" t="s">
        <v>61</v>
      </c>
      <c r="I276" s="97" t="s">
        <v>118</v>
      </c>
      <c r="J276" s="96">
        <v>3385</v>
      </c>
      <c r="K276" s="58">
        <v>1772</v>
      </c>
      <c r="L276" s="5" t="s">
        <v>226</v>
      </c>
    </row>
    <row r="277" spans="3:12" ht="14.45" customHeight="1" x14ac:dyDescent="0.25">
      <c r="C277" s="12">
        <v>3235</v>
      </c>
      <c r="D277" s="5" t="s">
        <v>188</v>
      </c>
      <c r="E277" s="5" t="s">
        <v>50</v>
      </c>
      <c r="F277" s="63" t="s">
        <v>188</v>
      </c>
      <c r="G277" s="101" t="s">
        <v>655</v>
      </c>
      <c r="H277" s="97" t="s">
        <v>49</v>
      </c>
      <c r="I277" s="97" t="s">
        <v>118</v>
      </c>
      <c r="J277" s="51">
        <v>3235</v>
      </c>
      <c r="K277" s="101">
        <v>3490</v>
      </c>
      <c r="L277" s="100" t="s">
        <v>226</v>
      </c>
    </row>
    <row r="278" spans="3:12" x14ac:dyDescent="0.25">
      <c r="C278" s="12">
        <v>1835</v>
      </c>
      <c r="D278" s="5" t="s">
        <v>493</v>
      </c>
      <c r="E278" s="5" t="s">
        <v>60</v>
      </c>
      <c r="F278" s="63" t="s">
        <v>208</v>
      </c>
      <c r="G278" s="63" t="s">
        <v>132</v>
      </c>
      <c r="H278" s="97" t="s">
        <v>31</v>
      </c>
      <c r="I278" s="67" t="s">
        <v>65</v>
      </c>
      <c r="J278" s="95">
        <v>1835</v>
      </c>
      <c r="K278" s="95">
        <v>1766</v>
      </c>
      <c r="L278" s="5" t="s">
        <v>234</v>
      </c>
    </row>
    <row r="279" spans="3:12" ht="14.45" customHeight="1" x14ac:dyDescent="0.25">
      <c r="C279" s="12">
        <v>3451</v>
      </c>
      <c r="D279" s="5" t="s">
        <v>494</v>
      </c>
      <c r="E279" s="5" t="s">
        <v>81</v>
      </c>
      <c r="F279" s="58" t="s">
        <v>471</v>
      </c>
      <c r="G279" s="99" t="s">
        <v>135</v>
      </c>
      <c r="H279" s="97" t="s">
        <v>42</v>
      </c>
      <c r="I279" s="97" t="s">
        <v>70</v>
      </c>
      <c r="J279" s="58">
        <v>3430</v>
      </c>
      <c r="K279" s="95">
        <v>1449</v>
      </c>
      <c r="L279" s="5" t="s">
        <v>234</v>
      </c>
    </row>
    <row r="280" spans="3:12" ht="14.45" customHeight="1" x14ac:dyDescent="0.25">
      <c r="C280" s="12">
        <v>3401</v>
      </c>
      <c r="D280" s="5" t="s">
        <v>495</v>
      </c>
      <c r="E280" s="5" t="s">
        <v>4</v>
      </c>
      <c r="F280" s="97" t="s">
        <v>222</v>
      </c>
      <c r="G280" s="99" t="s">
        <v>130</v>
      </c>
      <c r="H280" s="67" t="s">
        <v>80</v>
      </c>
      <c r="I280" s="97" t="s">
        <v>70</v>
      </c>
      <c r="J280" s="95">
        <v>1358</v>
      </c>
      <c r="K280" s="95">
        <v>1463</v>
      </c>
      <c r="L280" s="5" t="s">
        <v>226</v>
      </c>
    </row>
    <row r="281" spans="3:12" x14ac:dyDescent="0.25">
      <c r="C281" s="12">
        <v>3455</v>
      </c>
      <c r="D281" s="5" t="s">
        <v>496</v>
      </c>
      <c r="E281" s="5" t="s">
        <v>60</v>
      </c>
      <c r="F281" s="63" t="s">
        <v>207</v>
      </c>
      <c r="G281" s="63" t="s">
        <v>132</v>
      </c>
      <c r="H281" s="97" t="s">
        <v>31</v>
      </c>
      <c r="I281" s="67" t="s">
        <v>65</v>
      </c>
      <c r="J281" s="95">
        <v>3072</v>
      </c>
      <c r="K281" s="95">
        <v>1766</v>
      </c>
      <c r="L281" s="5" t="s">
        <v>234</v>
      </c>
    </row>
    <row r="282" spans="3:12" ht="14.45" customHeight="1" x14ac:dyDescent="0.25">
      <c r="C282" s="12">
        <v>3328</v>
      </c>
      <c r="D282" s="5" t="s">
        <v>498</v>
      </c>
      <c r="E282" s="5" t="s">
        <v>497</v>
      </c>
      <c r="F282" s="5" t="s">
        <v>498</v>
      </c>
      <c r="G282" s="51" t="s">
        <v>126</v>
      </c>
      <c r="H282" s="97" t="s">
        <v>48</v>
      </c>
      <c r="I282" s="97" t="s">
        <v>84</v>
      </c>
      <c r="J282" s="12">
        <v>3328</v>
      </c>
      <c r="K282" s="95">
        <v>3052</v>
      </c>
      <c r="L282" s="5" t="s">
        <v>232</v>
      </c>
    </row>
    <row r="283" spans="3:12" ht="14.45" customHeight="1" x14ac:dyDescent="0.25">
      <c r="C283" s="12">
        <v>3313</v>
      </c>
      <c r="D283" s="11" t="s">
        <v>242</v>
      </c>
      <c r="E283" s="5" t="s">
        <v>14</v>
      </c>
      <c r="F283" s="10" t="s">
        <v>160</v>
      </c>
      <c r="G283" s="100" t="s">
        <v>128</v>
      </c>
      <c r="H283" s="97" t="s">
        <v>48</v>
      </c>
      <c r="I283" s="97" t="s">
        <v>84</v>
      </c>
      <c r="J283" s="95">
        <v>1962</v>
      </c>
      <c r="K283" s="100" t="s">
        <v>128</v>
      </c>
      <c r="L283" s="5" t="s">
        <v>232</v>
      </c>
    </row>
    <row r="284" spans="3:12" ht="14.45" customHeight="1" x14ac:dyDescent="0.25">
      <c r="C284" s="12">
        <v>3460</v>
      </c>
      <c r="D284" s="5" t="s">
        <v>499</v>
      </c>
      <c r="E284" s="5" t="s">
        <v>46</v>
      </c>
      <c r="F284" s="51" t="s">
        <v>156</v>
      </c>
      <c r="G284" s="109" t="s">
        <v>126</v>
      </c>
      <c r="H284" s="97" t="s">
        <v>16</v>
      </c>
      <c r="I284" s="97" t="s">
        <v>84</v>
      </c>
      <c r="J284" s="51">
        <v>3286</v>
      </c>
      <c r="K284" s="97">
        <v>3052</v>
      </c>
      <c r="L284" s="5" t="s">
        <v>232</v>
      </c>
    </row>
    <row r="285" spans="3:12" x14ac:dyDescent="0.25">
      <c r="C285" s="12">
        <v>3458</v>
      </c>
      <c r="D285" s="5" t="s">
        <v>501</v>
      </c>
      <c r="E285" s="5" t="s">
        <v>60</v>
      </c>
      <c r="F285" s="5" t="s">
        <v>502</v>
      </c>
      <c r="G285" s="63" t="s">
        <v>132</v>
      </c>
      <c r="H285" s="97" t="s">
        <v>31</v>
      </c>
      <c r="I285" s="67" t="s">
        <v>65</v>
      </c>
      <c r="J285" s="95">
        <v>3457</v>
      </c>
      <c r="K285" s="95">
        <v>1766</v>
      </c>
      <c r="L285" s="5" t="s">
        <v>234</v>
      </c>
    </row>
    <row r="286" spans="3:12" x14ac:dyDescent="0.25">
      <c r="C286" s="95">
        <v>3457</v>
      </c>
      <c r="D286" s="5" t="s">
        <v>502</v>
      </c>
      <c r="E286" s="5" t="s">
        <v>60</v>
      </c>
      <c r="F286" s="5" t="s">
        <v>502</v>
      </c>
      <c r="G286" s="63" t="s">
        <v>132</v>
      </c>
      <c r="H286" s="97" t="s">
        <v>31</v>
      </c>
      <c r="I286" s="67" t="s">
        <v>65</v>
      </c>
      <c r="J286" s="95">
        <v>3457</v>
      </c>
      <c r="K286" s="95">
        <v>1766</v>
      </c>
      <c r="L286" s="5" t="s">
        <v>234</v>
      </c>
    </row>
    <row r="287" spans="3:12" ht="14.45" customHeight="1" x14ac:dyDescent="0.25">
      <c r="C287" s="12">
        <v>3044</v>
      </c>
      <c r="D287" s="5" t="s">
        <v>205</v>
      </c>
      <c r="E287" s="5" t="s">
        <v>2</v>
      </c>
      <c r="F287" s="63" t="s">
        <v>205</v>
      </c>
      <c r="G287" s="97" t="s">
        <v>131</v>
      </c>
      <c r="H287" s="97" t="s">
        <v>236</v>
      </c>
      <c r="I287" s="97" t="s">
        <v>65</v>
      </c>
      <c r="J287" s="95">
        <v>3044</v>
      </c>
      <c r="K287" s="95">
        <v>1596</v>
      </c>
      <c r="L287" s="5" t="s">
        <v>226</v>
      </c>
    </row>
    <row r="288" spans="3:12" ht="14.45" customHeight="1" x14ac:dyDescent="0.25">
      <c r="C288" s="12">
        <v>3434</v>
      </c>
      <c r="D288" s="5" t="s">
        <v>503</v>
      </c>
      <c r="E288" s="5" t="s">
        <v>191</v>
      </c>
      <c r="F288" s="63" t="s">
        <v>472</v>
      </c>
      <c r="G288" s="101" t="s">
        <v>655</v>
      </c>
      <c r="H288" s="97" t="s">
        <v>400</v>
      </c>
      <c r="I288" s="97" t="s">
        <v>118</v>
      </c>
      <c r="J288" s="63">
        <v>3424</v>
      </c>
      <c r="K288" s="101">
        <v>3490</v>
      </c>
      <c r="L288" s="100" t="s">
        <v>226</v>
      </c>
    </row>
    <row r="289" spans="3:12" ht="14.45" customHeight="1" x14ac:dyDescent="0.25">
      <c r="C289" s="12">
        <v>3459</v>
      </c>
      <c r="D289" s="5" t="s">
        <v>504</v>
      </c>
      <c r="E289" s="5" t="s">
        <v>33</v>
      </c>
      <c r="F289" s="51" t="s">
        <v>206</v>
      </c>
      <c r="G289" s="97" t="s">
        <v>131</v>
      </c>
      <c r="H289" s="97" t="s">
        <v>236</v>
      </c>
      <c r="I289" s="97" t="s">
        <v>65</v>
      </c>
      <c r="J289" s="95">
        <v>3180</v>
      </c>
      <c r="K289" s="95">
        <v>1596</v>
      </c>
      <c r="L289" s="5" t="s">
        <v>226</v>
      </c>
    </row>
    <row r="290" spans="3:12" ht="14.45" customHeight="1" x14ac:dyDescent="0.25">
      <c r="C290" s="12">
        <v>1004</v>
      </c>
      <c r="D290" s="5" t="s">
        <v>505</v>
      </c>
      <c r="E290" s="5" t="s">
        <v>134</v>
      </c>
      <c r="F290" s="5" t="s">
        <v>134</v>
      </c>
      <c r="G290" s="5" t="s">
        <v>134</v>
      </c>
      <c r="H290" s="5" t="s">
        <v>134</v>
      </c>
      <c r="I290" s="5" t="s">
        <v>134</v>
      </c>
      <c r="J290" s="5" t="s">
        <v>134</v>
      </c>
      <c r="K290" s="5" t="s">
        <v>134</v>
      </c>
      <c r="L290" s="5" t="s">
        <v>134</v>
      </c>
    </row>
    <row r="291" spans="3:12" ht="14.45" customHeight="1" x14ac:dyDescent="0.25">
      <c r="C291" s="12">
        <v>3464</v>
      </c>
      <c r="D291" s="5" t="s">
        <v>506</v>
      </c>
      <c r="E291" s="5" t="s">
        <v>33</v>
      </c>
      <c r="F291" s="51" t="s">
        <v>206</v>
      </c>
      <c r="G291" s="97" t="s">
        <v>131</v>
      </c>
      <c r="H291" s="97" t="s">
        <v>236</v>
      </c>
      <c r="I291" s="97" t="s">
        <v>65</v>
      </c>
      <c r="J291" s="95">
        <v>3180</v>
      </c>
      <c r="K291" s="95">
        <v>1596</v>
      </c>
      <c r="L291" s="5" t="s">
        <v>226</v>
      </c>
    </row>
    <row r="292" spans="3:12" ht="14.45" customHeight="1" x14ac:dyDescent="0.25">
      <c r="C292" s="12">
        <v>3442</v>
      </c>
      <c r="D292" s="5" t="s">
        <v>507</v>
      </c>
      <c r="E292" s="5" t="s">
        <v>17</v>
      </c>
      <c r="F292" s="51" t="s">
        <v>159</v>
      </c>
      <c r="G292" s="51" t="s">
        <v>126</v>
      </c>
      <c r="H292" s="51" t="s">
        <v>16</v>
      </c>
      <c r="I292" s="97" t="s">
        <v>84</v>
      </c>
      <c r="J292" s="95">
        <v>3198</v>
      </c>
      <c r="K292" s="95">
        <v>3052</v>
      </c>
      <c r="L292" s="5" t="s">
        <v>232</v>
      </c>
    </row>
    <row r="293" spans="3:12" ht="14.45" customHeight="1" x14ac:dyDescent="0.25">
      <c r="C293" s="12">
        <v>3421</v>
      </c>
      <c r="D293" s="5" t="s">
        <v>508</v>
      </c>
      <c r="E293" s="5" t="s">
        <v>1</v>
      </c>
      <c r="F293" s="63" t="s">
        <v>212</v>
      </c>
      <c r="G293" s="99" t="s">
        <v>130</v>
      </c>
      <c r="H293" s="97" t="s">
        <v>74</v>
      </c>
      <c r="I293" s="97" t="s">
        <v>70</v>
      </c>
      <c r="J293" s="95">
        <v>1635</v>
      </c>
      <c r="K293" s="95">
        <v>1463</v>
      </c>
      <c r="L293" s="5" t="s">
        <v>226</v>
      </c>
    </row>
    <row r="294" spans="3:12" ht="14.45" customHeight="1" x14ac:dyDescent="0.25">
      <c r="C294" s="12">
        <v>3423</v>
      </c>
      <c r="D294" s="5" t="s">
        <v>510</v>
      </c>
      <c r="E294" s="5" t="s">
        <v>509</v>
      </c>
      <c r="F294" s="5" t="s">
        <v>510</v>
      </c>
      <c r="G294" s="100" t="s">
        <v>482</v>
      </c>
      <c r="H294" s="97" t="s">
        <v>352</v>
      </c>
      <c r="I294" s="97" t="s">
        <v>118</v>
      </c>
      <c r="J294" s="12">
        <v>3423</v>
      </c>
      <c r="K294" s="100" t="s">
        <v>482</v>
      </c>
      <c r="L294" s="5" t="s">
        <v>234</v>
      </c>
    </row>
    <row r="295" spans="3:12" x14ac:dyDescent="0.25">
      <c r="C295" s="12">
        <v>3469</v>
      </c>
      <c r="D295" s="5" t="s">
        <v>512</v>
      </c>
      <c r="E295" s="5" t="s">
        <v>60</v>
      </c>
      <c r="F295" s="5" t="s">
        <v>502</v>
      </c>
      <c r="G295" s="63" t="s">
        <v>132</v>
      </c>
      <c r="H295" s="97" t="s">
        <v>31</v>
      </c>
      <c r="I295" s="67" t="s">
        <v>65</v>
      </c>
      <c r="J295" s="95">
        <v>3457</v>
      </c>
      <c r="K295" s="95">
        <v>1766</v>
      </c>
      <c r="L295" s="5" t="s">
        <v>234</v>
      </c>
    </row>
    <row r="296" spans="3:12" ht="14.45" customHeight="1" x14ac:dyDescent="0.25">
      <c r="C296" s="12">
        <v>3444</v>
      </c>
      <c r="D296" s="5" t="s">
        <v>513</v>
      </c>
      <c r="E296" s="5" t="s">
        <v>4</v>
      </c>
      <c r="F296" s="97" t="s">
        <v>213</v>
      </c>
      <c r="G296" s="99" t="s">
        <v>130</v>
      </c>
      <c r="H296" s="97" t="s">
        <v>44</v>
      </c>
      <c r="I296" s="97" t="s">
        <v>70</v>
      </c>
      <c r="J296" s="51">
        <v>3249</v>
      </c>
      <c r="K296" s="95">
        <v>1463</v>
      </c>
      <c r="L296" s="5" t="s">
        <v>226</v>
      </c>
    </row>
    <row r="297" spans="3:12" ht="15.6" customHeight="1" x14ac:dyDescent="0.25">
      <c r="C297" s="147">
        <v>3465</v>
      </c>
      <c r="D297" s="147" t="s">
        <v>511</v>
      </c>
      <c r="E297" s="5" t="s">
        <v>478</v>
      </c>
      <c r="F297" s="147" t="s">
        <v>511</v>
      </c>
      <c r="G297" s="5" t="s">
        <v>135</v>
      </c>
      <c r="H297" s="97" t="s">
        <v>42</v>
      </c>
      <c r="I297" s="97" t="s">
        <v>70</v>
      </c>
      <c r="J297" s="147">
        <v>3465</v>
      </c>
      <c r="K297" s="95">
        <v>1449</v>
      </c>
      <c r="L297" s="5" t="s">
        <v>234</v>
      </c>
    </row>
    <row r="298" spans="3:12" ht="14.45" customHeight="1" x14ac:dyDescent="0.25">
      <c r="C298" s="5" t="s">
        <v>514</v>
      </c>
      <c r="D298" s="5" t="s">
        <v>515</v>
      </c>
      <c r="E298" s="5" t="s">
        <v>67</v>
      </c>
      <c r="F298" s="51" t="s">
        <v>171</v>
      </c>
      <c r="G298" s="63" t="s">
        <v>125</v>
      </c>
      <c r="H298" s="51" t="s">
        <v>35</v>
      </c>
      <c r="I298" s="63" t="s">
        <v>78</v>
      </c>
      <c r="J298" s="95">
        <v>3132</v>
      </c>
      <c r="K298" s="95">
        <v>3256</v>
      </c>
      <c r="L298" s="5" t="s">
        <v>226</v>
      </c>
    </row>
    <row r="299" spans="3:12" ht="14.45" customHeight="1" x14ac:dyDescent="0.25">
      <c r="C299" s="12">
        <v>3450</v>
      </c>
      <c r="D299" s="5" t="s">
        <v>544</v>
      </c>
      <c r="E299" s="5" t="s">
        <v>485</v>
      </c>
      <c r="F299" s="137" t="s">
        <v>487</v>
      </c>
      <c r="G299" s="138" t="s">
        <v>126</v>
      </c>
      <c r="H299" s="97" t="s">
        <v>28</v>
      </c>
      <c r="I299" s="5" t="s">
        <v>84</v>
      </c>
      <c r="J299" s="137">
        <v>3373</v>
      </c>
      <c r="K299" s="95">
        <v>3052</v>
      </c>
      <c r="L299" s="138" t="s">
        <v>232</v>
      </c>
    </row>
    <row r="300" spans="3:12" x14ac:dyDescent="0.25">
      <c r="C300" s="12">
        <v>3484</v>
      </c>
      <c r="D300" s="5" t="s">
        <v>592</v>
      </c>
      <c r="E300" s="5" t="s">
        <v>60</v>
      </c>
      <c r="F300" s="51" t="s">
        <v>210</v>
      </c>
      <c r="G300" s="63" t="s">
        <v>132</v>
      </c>
      <c r="H300" s="97" t="s">
        <v>31</v>
      </c>
      <c r="I300" s="67" t="s">
        <v>65</v>
      </c>
      <c r="J300" s="95">
        <v>1930</v>
      </c>
      <c r="K300" s="95">
        <v>1766</v>
      </c>
      <c r="L300" s="5" t="s">
        <v>234</v>
      </c>
    </row>
    <row r="301" spans="3:12" ht="14.45" customHeight="1" x14ac:dyDescent="0.25">
      <c r="C301" s="12">
        <v>3471</v>
      </c>
      <c r="D301" s="5" t="s">
        <v>593</v>
      </c>
      <c r="E301" s="5" t="s">
        <v>57</v>
      </c>
      <c r="F301" s="63" t="s">
        <v>172</v>
      </c>
      <c r="G301" s="63" t="s">
        <v>129</v>
      </c>
      <c r="H301" s="97" t="s">
        <v>231</v>
      </c>
      <c r="I301" s="97" t="s">
        <v>118</v>
      </c>
      <c r="J301" s="95">
        <v>1983</v>
      </c>
      <c r="K301" s="95">
        <v>1447</v>
      </c>
      <c r="L301" s="5" t="s">
        <v>226</v>
      </c>
    </row>
    <row r="302" spans="3:12" x14ac:dyDescent="0.25">
      <c r="C302" s="63">
        <v>3493</v>
      </c>
      <c r="D302" s="51" t="s">
        <v>654</v>
      </c>
      <c r="E302" s="95" t="s">
        <v>82</v>
      </c>
      <c r="F302" s="51" t="s">
        <v>654</v>
      </c>
      <c r="G302" s="100" t="s">
        <v>482</v>
      </c>
      <c r="H302" s="95" t="s">
        <v>15</v>
      </c>
      <c r="I302" s="97" t="s">
        <v>118</v>
      </c>
      <c r="J302" s="63">
        <v>3493</v>
      </c>
      <c r="K302" s="100" t="s">
        <v>482</v>
      </c>
      <c r="L302" s="100" t="s">
        <v>234</v>
      </c>
    </row>
    <row r="303" spans="3:12" x14ac:dyDescent="0.25">
      <c r="C303">
        <v>3501</v>
      </c>
      <c r="D303" s="1" t="s">
        <v>653</v>
      </c>
      <c r="E303" s="5" t="s">
        <v>46</v>
      </c>
      <c r="F303" s="1" t="s">
        <v>653</v>
      </c>
      <c r="G303" s="109" t="s">
        <v>126</v>
      </c>
      <c r="H303" s="97" t="s">
        <v>16</v>
      </c>
      <c r="I303" s="97" t="s">
        <v>84</v>
      </c>
      <c r="J303">
        <v>3501</v>
      </c>
      <c r="K303" s="97">
        <v>3052</v>
      </c>
      <c r="L303" s="5" t="s">
        <v>232</v>
      </c>
    </row>
    <row r="390" spans="1:1" x14ac:dyDescent="0.25">
      <c r="A390" t="s">
        <v>72</v>
      </c>
    </row>
  </sheetData>
  <conditionalFormatting sqref="C244 C246:C272 J247 J257 J262 C274:C281">
    <cfRule type="expression" dxfId="7" priority="423">
      <formula>AND($G244&lt;&gt;"", $B243&lt;&gt;"", $G244=$B243)</formula>
    </cfRule>
  </conditionalFormatting>
  <conditionalFormatting sqref="C282:C285">
    <cfRule type="expression" dxfId="6" priority="13">
      <formula>AND($G282&lt;&gt;"", $B282&lt;&gt;"", $G282=$B282)</formula>
    </cfRule>
  </conditionalFormatting>
  <conditionalFormatting sqref="C288:C295">
    <cfRule type="expression" dxfId="5" priority="4">
      <formula>AND($G288&lt;&gt;"", $B288&lt;&gt;"", $G288=$B288)</formula>
    </cfRule>
  </conditionalFormatting>
  <conditionalFormatting sqref="C299:C301">
    <cfRule type="expression" dxfId="4" priority="1">
      <formula>AND($G299&lt;&gt;"", $B299&lt;&gt;"", $G299=$B299)</formula>
    </cfRule>
  </conditionalFormatting>
  <conditionalFormatting sqref="D283">
    <cfRule type="expression" dxfId="3" priority="16">
      <formula>AND($H283&lt;&gt;"", $F283&lt;&gt;"", $H283=$F283)</formula>
    </cfRule>
  </conditionalFormatting>
  <conditionalFormatting sqref="J188">
    <cfRule type="expression" dxfId="2" priority="44">
      <formula>AND($G188&lt;&gt;"", $B188&lt;&gt;"", $G188=$B188)</formula>
    </cfRule>
  </conditionalFormatting>
  <conditionalFormatting sqref="J282">
    <cfRule type="expression" dxfId="1" priority="14">
      <formula>AND($G282&lt;&gt;"", $B282&lt;&gt;"", $G282=$B282)</formula>
    </cfRule>
  </conditionalFormatting>
  <conditionalFormatting sqref="J294">
    <cfRule type="expression" dxfId="0" priority="5">
      <formula>AND($G294&lt;&gt;"", $B294&lt;&gt;"", $G294=$B294)</formula>
    </cfRule>
  </conditionalFormatting>
  <dataValidations count="5">
    <dataValidation type="list" allowBlank="1" showInputMessage="1" showErrorMessage="1" sqref="A1" xr:uid="{00000000-0002-0000-0200-000000000000}"/>
    <dataValidation type="list" allowBlank="1" showInputMessage="1" showErrorMessage="1" sqref="D120:D121 D86" xr:uid="{00000000-0002-0000-0200-000001000000}">
      <formula1>$D$2:$D$119</formula1>
    </dataValidation>
    <dataValidation type="list" allowBlank="1" showInputMessage="1" showErrorMessage="1" sqref="N3:N6" xr:uid="{00000000-0002-0000-0200-000002000000}">
      <formula1>$BV$4:$BV$7</formula1>
    </dataValidation>
    <dataValidation type="list" allowBlank="1" showInputMessage="1" showErrorMessage="1" sqref="N8" xr:uid="{00000000-0002-0000-0200-000003000000}">
      <formula1>$K$3:$K$8</formula1>
    </dataValidation>
    <dataValidation type="list" allowBlank="1" showInputMessage="1" showErrorMessage="1" sqref="D137" xr:uid="{00000000-0002-0000-0200-000004000000}">
      <formula1>$D:$D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Aug-24 CREDIT MIS</vt:lpstr>
      <vt:lpstr>Aug Dashboard.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Office365</cp:lastModifiedBy>
  <dcterms:created xsi:type="dcterms:W3CDTF">2024-06-26T10:51:00Z</dcterms:created>
  <dcterms:modified xsi:type="dcterms:W3CDTF">2024-08-16T09:08:47Z</dcterms:modified>
</cp:coreProperties>
</file>