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ALER CLASSES\DOMAIN ANALYST _FINTECH\BLOCK 3\"/>
    </mc:Choice>
  </mc:AlternateContent>
  <bookViews>
    <workbookView xWindow="0" yWindow="0" windowWidth="23040" windowHeight="9192" activeTab="6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</sheets>
  <calcPr calcId="162913"/>
</workbook>
</file>

<file path=xl/calcChain.xml><?xml version="1.0" encoding="utf-8"?>
<calcChain xmlns="http://schemas.openxmlformats.org/spreadsheetml/2006/main">
  <c r="C17" i="7" l="1"/>
  <c r="C10" i="6"/>
  <c r="J17" i="5" l="1"/>
  <c r="I17" i="5"/>
  <c r="H17" i="5"/>
  <c r="G17" i="5"/>
  <c r="F18" i="5"/>
  <c r="F17" i="5"/>
  <c r="J18" i="5"/>
  <c r="I18" i="5"/>
  <c r="H18" i="5"/>
  <c r="G18" i="5"/>
  <c r="E17" i="5"/>
  <c r="E7" i="4"/>
  <c r="F4" i="4" s="1"/>
  <c r="F6" i="4" l="1"/>
  <c r="F16" i="5" s="1"/>
  <c r="C12" i="7"/>
  <c r="C18" i="7"/>
  <c r="C16" i="7"/>
  <c r="C17" i="5"/>
  <c r="C11" i="6"/>
  <c r="C13" i="6"/>
  <c r="C12" i="6"/>
  <c r="C4" i="4"/>
  <c r="J22" i="5" l="1"/>
  <c r="I22" i="5"/>
  <c r="H22" i="5"/>
  <c r="G22" i="5"/>
  <c r="F22" i="5"/>
  <c r="E22" i="5"/>
  <c r="D22" i="5"/>
  <c r="C22" i="5"/>
  <c r="B22" i="5"/>
  <c r="E18" i="5"/>
  <c r="D18" i="5"/>
  <c r="C18" i="5"/>
  <c r="D17" i="5"/>
  <c r="E13" i="5"/>
  <c r="D13" i="5"/>
  <c r="C13" i="5"/>
  <c r="E11" i="5"/>
  <c r="E15" i="5" s="1"/>
  <c r="D11" i="5"/>
  <c r="D15" i="5" s="1"/>
  <c r="C11" i="5"/>
  <c r="C15" i="5" s="1"/>
  <c r="E8" i="5"/>
  <c r="D8" i="5"/>
  <c r="D9" i="5" s="1"/>
  <c r="C8" i="5"/>
  <c r="E5" i="5"/>
  <c r="D5" i="5"/>
  <c r="C5" i="5"/>
  <c r="E4" i="5"/>
  <c r="D4" i="5"/>
  <c r="C4" i="5"/>
  <c r="H12" i="4"/>
  <c r="I12" i="4" s="1"/>
  <c r="J12" i="4" s="1"/>
  <c r="G12" i="4"/>
  <c r="D7" i="4"/>
  <c r="C7" i="4"/>
  <c r="E5" i="4"/>
  <c r="D5" i="4"/>
  <c r="C5" i="4"/>
  <c r="C11" i="4" s="1"/>
  <c r="E4" i="4"/>
  <c r="D4" i="4"/>
  <c r="C26" i="5" l="1"/>
  <c r="E6" i="4"/>
  <c r="E16" i="5" s="1"/>
  <c r="D23" i="5"/>
  <c r="E25" i="5"/>
  <c r="D6" i="4"/>
  <c r="D12" i="4" s="1"/>
  <c r="C6" i="5"/>
  <c r="D26" i="5"/>
  <c r="E6" i="5"/>
  <c r="F4" i="5"/>
  <c r="D25" i="5"/>
  <c r="E26" i="5"/>
  <c r="C6" i="4"/>
  <c r="C16" i="5" s="1"/>
  <c r="D11" i="4"/>
  <c r="E11" i="4"/>
  <c r="D6" i="5"/>
  <c r="D10" i="5" s="1"/>
  <c r="D12" i="5" s="1"/>
  <c r="D14" i="5" s="1"/>
  <c r="E23" i="5"/>
  <c r="C9" i="5"/>
  <c r="C10" i="5" s="1"/>
  <c r="C12" i="5" s="1"/>
  <c r="C25" i="5"/>
  <c r="E9" i="5"/>
  <c r="E12" i="4" l="1"/>
  <c r="D16" i="5"/>
  <c r="D19" i="5" s="1"/>
  <c r="E4" i="7" s="1"/>
  <c r="C12" i="4"/>
  <c r="E10" i="5"/>
  <c r="E12" i="5" s="1"/>
  <c r="E14" i="5" s="1"/>
  <c r="E19" i="5" s="1"/>
  <c r="F4" i="7" s="1"/>
  <c r="F25" i="5"/>
  <c r="G25" i="5" s="1"/>
  <c r="H25" i="5" s="1"/>
  <c r="I25" i="5" s="1"/>
  <c r="J25" i="5" s="1"/>
  <c r="F26" i="5"/>
  <c r="G26" i="5" s="1"/>
  <c r="H26" i="5" s="1"/>
  <c r="I26" i="5" s="1"/>
  <c r="J26" i="5" s="1"/>
  <c r="F11" i="4"/>
  <c r="F5" i="4" s="1"/>
  <c r="F11" i="5" s="1"/>
  <c r="G4" i="5"/>
  <c r="C14" i="5"/>
  <c r="C19" i="5" s="1"/>
  <c r="D4" i="7" s="1"/>
  <c r="C27" i="5"/>
  <c r="D27" i="5"/>
  <c r="G11" i="4" l="1"/>
  <c r="H11" i="4" s="1"/>
  <c r="I11" i="4" s="1"/>
  <c r="J11" i="4" s="1"/>
  <c r="E27" i="5"/>
  <c r="F5" i="5"/>
  <c r="F6" i="5" s="1"/>
  <c r="F7" i="4"/>
  <c r="G4" i="4" s="1"/>
  <c r="G6" i="4" s="1"/>
  <c r="G16" i="5" s="1"/>
  <c r="F8" i="5"/>
  <c r="F9" i="5" s="1"/>
  <c r="H4" i="5"/>
  <c r="G5" i="5"/>
  <c r="G6" i="5" s="1"/>
  <c r="G8" i="5"/>
  <c r="G9" i="5" s="1"/>
  <c r="F15" i="5"/>
  <c r="F10" i="5" l="1"/>
  <c r="F12" i="5" s="1"/>
  <c r="F13" i="5" s="1"/>
  <c r="F14" i="5" s="1"/>
  <c r="F19" i="5" s="1"/>
  <c r="G4" i="7" s="1"/>
  <c r="G7" i="7" s="1"/>
  <c r="G5" i="4"/>
  <c r="G11" i="5" s="1"/>
  <c r="G10" i="5"/>
  <c r="I4" i="5"/>
  <c r="H5" i="5"/>
  <c r="H6" i="5" s="1"/>
  <c r="H8" i="5"/>
  <c r="H9" i="5" s="1"/>
  <c r="G7" i="4" l="1"/>
  <c r="H4" i="4" s="1"/>
  <c r="H6" i="4" s="1"/>
  <c r="H16" i="5" s="1"/>
  <c r="H10" i="5"/>
  <c r="J4" i="5"/>
  <c r="I5" i="5"/>
  <c r="I6" i="5" s="1"/>
  <c r="I8" i="5"/>
  <c r="I9" i="5" s="1"/>
  <c r="G12" i="5"/>
  <c r="G15" i="5"/>
  <c r="H5" i="4" l="1"/>
  <c r="H11" i="5" s="1"/>
  <c r="I10" i="5"/>
  <c r="J8" i="5"/>
  <c r="J9" i="5" s="1"/>
  <c r="J5" i="5"/>
  <c r="J6" i="5" s="1"/>
  <c r="G13" i="5"/>
  <c r="G14" i="5" s="1"/>
  <c r="G19" i="5" s="1"/>
  <c r="H4" i="7" s="1"/>
  <c r="H7" i="7" s="1"/>
  <c r="H7" i="4"/>
  <c r="I4" i="4" s="1"/>
  <c r="J10" i="5" l="1"/>
  <c r="I6" i="4"/>
  <c r="I16" i="5" s="1"/>
  <c r="I5" i="4"/>
  <c r="I11" i="5" s="1"/>
  <c r="H15" i="5"/>
  <c r="H12" i="5"/>
  <c r="I12" i="5" l="1"/>
  <c r="I15" i="5"/>
  <c r="H13" i="5"/>
  <c r="H14" i="5" s="1"/>
  <c r="H19" i="5" s="1"/>
  <c r="I4" i="7" s="1"/>
  <c r="I7" i="7" s="1"/>
  <c r="I7" i="4"/>
  <c r="J4" i="4" s="1"/>
  <c r="J6" i="4" l="1"/>
  <c r="J16" i="5" s="1"/>
  <c r="J5" i="4"/>
  <c r="I13" i="5"/>
  <c r="I14" i="5"/>
  <c r="I19" i="5" s="1"/>
  <c r="J4" i="7" s="1"/>
  <c r="J7" i="7" s="1"/>
  <c r="J7" i="4" l="1"/>
  <c r="J11" i="5"/>
  <c r="J12" i="5" l="1"/>
  <c r="J15" i="5"/>
  <c r="J13" i="5" l="1"/>
  <c r="J14" i="5" s="1"/>
  <c r="J19" i="5" s="1"/>
  <c r="K4" i="7" s="1"/>
  <c r="C13" i="7" l="1"/>
  <c r="C14" i="7" s="1"/>
  <c r="K7" i="7"/>
  <c r="C10" i="7" s="1"/>
  <c r="C15" i="7" l="1"/>
  <c r="C19" i="7" s="1"/>
</calcChain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<sst xmlns="http://schemas.openxmlformats.org/spreadsheetml/2006/main" count="200" uniqueCount="181">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</sst>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6" fillId="3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164" fontId="4" fillId="0" borderId="1" xfId="0" applyNumberFormat="1" applyFont="1" applyBorder="1"/>
    <xf numFmtId="3" fontId="4" fillId="0" borderId="1" xfId="0" applyNumberFormat="1" applyFont="1" applyBorder="1"/>
    <xf numFmtId="164" fontId="4" fillId="0" borderId="0" xfId="0" applyNumberFormat="1" applyFont="1"/>
    <xf numFmtId="3" fontId="4" fillId="3" borderId="1" xfId="0" applyNumberFormat="1" applyFont="1" applyFill="1" applyBorder="1"/>
    <xf numFmtId="0" fontId="5" fillId="0" borderId="1" xfId="0" applyFont="1" applyBorder="1"/>
    <xf numFmtId="4" fontId="4" fillId="0" borderId="0" xfId="0" applyNumberFormat="1" applyFont="1"/>
    <xf numFmtId="3" fontId="4" fillId="0" borderId="0" xfId="0" applyNumberFormat="1" applyFont="1"/>
    <xf numFmtId="0" fontId="7" fillId="4" borderId="0" xfId="0" applyFont="1" applyFill="1"/>
    <xf numFmtId="0" fontId="8" fillId="4" borderId="1" xfId="0" applyFont="1" applyFill="1" applyBorder="1"/>
    <xf numFmtId="3" fontId="9" fillId="4" borderId="1" xfId="0" applyNumberFormat="1" applyFont="1" applyFill="1" applyBorder="1"/>
    <xf numFmtId="0" fontId="2" fillId="2" borderId="0" xfId="0" applyFont="1" applyFill="1" applyAlignment="1"/>
    <xf numFmtId="0" fontId="11" fillId="2" borderId="2" xfId="0" applyFont="1" applyFill="1" applyBorder="1"/>
    <xf numFmtId="0" fontId="4" fillId="3" borderId="3" xfId="0" applyFont="1" applyFill="1" applyBorder="1"/>
    <xf numFmtId="165" fontId="4" fillId="3" borderId="3" xfId="0" applyNumberFormat="1" applyFont="1" applyFill="1" applyBorder="1"/>
    <xf numFmtId="166" fontId="4" fillId="3" borderId="3" xfId="0" applyNumberFormat="1" applyFont="1" applyFill="1" applyBorder="1"/>
    <xf numFmtId="0" fontId="12" fillId="0" borderId="0" xfId="0" applyFont="1" applyAlignment="1"/>
    <xf numFmtId="0" fontId="6" fillId="0" borderId="0" xfId="0" applyFont="1"/>
    <xf numFmtId="0" fontId="13" fillId="0" borderId="0" xfId="0" applyFont="1" applyAlignment="1"/>
    <xf numFmtId="0" fontId="14" fillId="0" borderId="4" xfId="0" applyFont="1" applyBorder="1"/>
    <xf numFmtId="3" fontId="14" fillId="0" borderId="4" xfId="0" applyNumberFormat="1" applyFont="1" applyBorder="1"/>
    <xf numFmtId="0" fontId="4" fillId="5" borderId="2" xfId="0" applyFont="1" applyFill="1" applyBorder="1"/>
    <xf numFmtId="167" fontId="4" fillId="5" borderId="2" xfId="0" applyNumberFormat="1" applyFont="1" applyFill="1" applyBorder="1"/>
    <xf numFmtId="167" fontId="4" fillId="0" borderId="0" xfId="0" applyNumberFormat="1" applyFont="1"/>
    <xf numFmtId="168" fontId="4" fillId="0" borderId="0" xfId="0" applyNumberFormat="1" applyFont="1"/>
    <xf numFmtId="0" fontId="4" fillId="0" borderId="5" xfId="0" applyFont="1" applyBorder="1"/>
    <xf numFmtId="168" fontId="4" fillId="0" borderId="5" xfId="0" applyNumberFormat="1" applyFont="1" applyBorder="1"/>
    <xf numFmtId="0" fontId="14" fillId="0" borderId="0" xfId="0" applyFont="1"/>
    <xf numFmtId="168" fontId="14" fillId="0" borderId="0" xfId="0" applyNumberFormat="1" applyFont="1"/>
    <xf numFmtId="0" fontId="4" fillId="0" borderId="0" xfId="0" applyFont="1" applyAlignment="1">
      <alignment horizontal="left"/>
    </xf>
    <xf numFmtId="0" fontId="14" fillId="4" borderId="6" xfId="0" applyFont="1" applyFill="1" applyBorder="1"/>
    <xf numFmtId="168" fontId="14" fillId="4" borderId="6" xfId="0" applyNumberFormat="1" applyFont="1" applyFill="1" applyBorder="1"/>
    <xf numFmtId="0" fontId="4" fillId="0" borderId="0" xfId="0" applyFont="1" applyAlignment="1">
      <alignment horizontal="left"/>
    </xf>
    <xf numFmtId="168" fontId="4" fillId="0" borderId="0" xfId="0" applyNumberFormat="1" applyFont="1" applyAlignment="1"/>
    <xf numFmtId="0" fontId="7" fillId="0" borderId="0" xfId="0" applyFont="1"/>
    <xf numFmtId="0" fontId="4" fillId="0" borderId="0" xfId="0" applyFont="1" applyAlignment="1"/>
    <xf numFmtId="4" fontId="16" fillId="0" borderId="0" xfId="0" applyNumberFormat="1" applyFont="1"/>
    <xf numFmtId="0" fontId="17" fillId="0" borderId="0" xfId="0" applyFont="1" applyAlignment="1"/>
    <xf numFmtId="4" fontId="16" fillId="0" borderId="0" xfId="0" applyNumberFormat="1" applyFont="1" applyAlignment="1"/>
    <xf numFmtId="0" fontId="17" fillId="0" borderId="0" xfId="0" applyFont="1" applyAlignment="1"/>
    <xf numFmtId="167" fontId="16" fillId="0" borderId="0" xfId="0" applyNumberFormat="1" applyFont="1"/>
    <xf numFmtId="167" fontId="16" fillId="0" borderId="0" xfId="0" applyNumberFormat="1" applyFont="1" applyAlignment="1"/>
    <xf numFmtId="0" fontId="4" fillId="0" borderId="0" xfId="0" applyFont="1"/>
    <xf numFmtId="167" fontId="9" fillId="0" borderId="0" xfId="0" applyNumberFormat="1" applyFont="1"/>
    <xf numFmtId="167" fontId="18" fillId="4" borderId="6" xfId="0" applyNumberFormat="1" applyFont="1" applyFill="1" applyBorder="1"/>
    <xf numFmtId="167" fontId="5" fillId="0" borderId="0" xfId="0" applyNumberFormat="1" applyFont="1"/>
    <xf numFmtId="0" fontId="5" fillId="6" borderId="0" xfId="0" applyFont="1" applyFill="1"/>
    <xf numFmtId="2" fontId="9" fillId="0" borderId="0" xfId="0" applyNumberFormat="1" applyFont="1"/>
    <xf numFmtId="3" fontId="0" fillId="0" borderId="0" xfId="0" applyNumberFormat="1" applyFont="1" applyAlignment="1"/>
    <xf numFmtId="0" fontId="0" fillId="0" borderId="8" xfId="0" applyFont="1" applyBorder="1" applyAlignment="1"/>
    <xf numFmtId="0" fontId="1" fillId="0" borderId="0" xfId="0" applyFont="1" applyAlignment="1">
      <alignment wrapText="1"/>
    </xf>
    <xf numFmtId="0" fontId="0" fillId="0" borderId="12" xfId="0" applyFont="1" applyBorder="1" applyAlignment="1"/>
    <xf numFmtId="0" fontId="0" fillId="0" borderId="14" xfId="0" applyFont="1" applyBorder="1" applyAlignment="1"/>
    <xf numFmtId="0" fontId="6" fillId="0" borderId="8" xfId="0" applyFont="1" applyBorder="1"/>
    <xf numFmtId="3" fontId="4" fillId="0" borderId="8" xfId="0" applyNumberFormat="1" applyFont="1" applyBorder="1"/>
    <xf numFmtId="0" fontId="14" fillId="0" borderId="8" xfId="0" applyFont="1" applyBorder="1"/>
    <xf numFmtId="3" fontId="14" fillId="0" borderId="8" xfId="0" applyNumberFormat="1" applyFont="1" applyBorder="1"/>
    <xf numFmtId="0" fontId="11" fillId="2" borderId="17" xfId="0" applyFont="1" applyFill="1" applyBorder="1"/>
    <xf numFmtId="0" fontId="4" fillId="3" borderId="9" xfId="0" applyFont="1" applyFill="1" applyBorder="1"/>
    <xf numFmtId="165" fontId="4" fillId="3" borderId="10" xfId="0" applyNumberFormat="1" applyFont="1" applyFill="1" applyBorder="1"/>
    <xf numFmtId="166" fontId="4" fillId="3" borderId="10" xfId="0" applyNumberFormat="1" applyFont="1" applyFill="1" applyBorder="1"/>
    <xf numFmtId="166" fontId="4" fillId="3" borderId="11" xfId="0" applyNumberFormat="1" applyFont="1" applyFill="1" applyBorder="1"/>
    <xf numFmtId="0" fontId="6" fillId="0" borderId="12" xfId="0" applyFont="1" applyBorder="1"/>
    <xf numFmtId="3" fontId="4" fillId="0" borderId="14" xfId="0" applyNumberFormat="1" applyFont="1" applyBorder="1"/>
    <xf numFmtId="0" fontId="6" fillId="0" borderId="14" xfId="0" applyFont="1" applyBorder="1"/>
    <xf numFmtId="0" fontId="14" fillId="0" borderId="12" xfId="0" applyFont="1" applyBorder="1"/>
    <xf numFmtId="3" fontId="14" fillId="0" borderId="14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6" borderId="13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9" fontId="16" fillId="0" borderId="14" xfId="0" applyNumberFormat="1" applyFont="1" applyBorder="1"/>
    <xf numFmtId="167" fontId="4" fillId="0" borderId="14" xfId="0" applyNumberFormat="1" applyFont="1" applyBorder="1"/>
    <xf numFmtId="3" fontId="4" fillId="6" borderId="16" xfId="0" applyNumberFormat="1" applyFont="1" applyFill="1" applyBorder="1"/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1" fillId="2" borderId="7" xfId="0" applyFont="1" applyFill="1" applyBorder="1" applyAlignment="1">
      <alignment horizontal="center"/>
    </xf>
    <xf numFmtId="0" fontId="15" fillId="0" borderId="8" xfId="0" applyFont="1" applyBorder="1"/>
    <xf numFmtId="0" fontId="11" fillId="2" borderId="9" xfId="0" applyFont="1" applyFill="1" applyBorder="1" applyAlignment="1">
      <alignment horizontal="center"/>
    </xf>
    <xf numFmtId="0" fontId="15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/>
  </sheetViews>
  <sheetFormatPr defaultColWidth="14.44140625" defaultRowHeight="15" customHeight="1"/>
  <cols>
    <col min="1" max="1" width="8.88671875" customWidth="1"/>
    <col min="2" max="2" width="69.44140625" customWidth="1"/>
    <col min="3" max="3" width="16.77734375" bestFit="1" customWidth="1"/>
    <col min="4" max="5" width="15.44140625" customWidth="1"/>
    <col min="6" max="6" width="18.5546875" bestFit="1" customWidth="1"/>
    <col min="7" max="7" width="11.77734375" bestFit="1" customWidth="1"/>
    <col min="9" max="9" width="18.8867187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>
      <c r="B18" s="12"/>
      <c r="C18" s="9"/>
      <c r="D18" s="9"/>
      <c r="E18" s="9"/>
    </row>
    <row r="19" spans="2:6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>
      <c r="B20" s="12"/>
      <c r="C20" s="9"/>
      <c r="D20" s="9"/>
      <c r="E20" s="9"/>
    </row>
    <row r="21" spans="2:6" ht="14.25" customHeight="1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>
      <c r="D23" s="13"/>
      <c r="E23" s="13"/>
      <c r="F23" s="13"/>
    </row>
    <row r="24" spans="2:6" ht="14.25" customHeight="1">
      <c r="D24" s="14"/>
      <c r="E24" s="14"/>
      <c r="F24" s="14"/>
    </row>
    <row r="25" spans="2:6" ht="14.25" customHeight="1"/>
    <row r="26" spans="2:6" ht="14.25" customHeight="1"/>
    <row r="27" spans="2:6" ht="14.25" customHeight="1"/>
    <row r="28" spans="2:6" ht="14.25" customHeight="1">
      <c r="F28" s="57"/>
    </row>
    <row r="29" spans="2:6" ht="14.25" customHeight="1">
      <c r="F29" s="57"/>
    </row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F27" sqref="F27"/>
    </sheetView>
  </sheetViews>
  <sheetFormatPr defaultColWidth="14.44140625" defaultRowHeight="15" customHeight="1"/>
  <cols>
    <col min="1" max="1" width="8.88671875" customWidth="1"/>
    <col min="2" max="2" width="104.88671875" customWidth="1"/>
    <col min="3" max="3" width="12.77734375" bestFit="1" customWidth="1"/>
    <col min="4" max="5" width="11.88671875" customWidth="1"/>
    <col min="6" max="6" width="11.554687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  <c r="G27" s="55"/>
    </row>
    <row r="28" spans="1:26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D20" sqref="D20"/>
    </sheetView>
  </sheetViews>
  <sheetFormatPr defaultColWidth="14.44140625" defaultRowHeight="15" customHeight="1"/>
  <cols>
    <col min="1" max="1" width="8.88671875" customWidth="1"/>
    <col min="2" max="2" width="101.44140625" customWidth="1"/>
    <col min="3" max="5" width="15.44140625" customWidth="1"/>
    <col min="6" max="6" width="8.88671875" customWidth="1"/>
  </cols>
  <sheetData>
    <row r="1" spans="1:26" ht="14.25" customHeight="1"/>
    <row r="2" spans="1:26" ht="14.25" customHeight="1">
      <c r="A2" s="1"/>
      <c r="B2" s="18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2"/>
      <c r="D5" s="12"/>
      <c r="E5" s="12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2"/>
      <c r="D11" s="12"/>
      <c r="E11" s="12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showGridLines="0" zoomScale="85" zoomScaleNormal="85" workbookViewId="0">
      <selection activeCell="C5" sqref="C5"/>
    </sheetView>
  </sheetViews>
  <sheetFormatPr defaultColWidth="14.44140625" defaultRowHeight="15" customHeight="1"/>
  <cols>
    <col min="1" max="1" width="8.88671875" customWidth="1"/>
    <col min="2" max="2" width="27.88671875" customWidth="1"/>
    <col min="3" max="5" width="8.44140625" customWidth="1"/>
    <col min="6" max="6" width="13.5546875" bestFit="1" customWidth="1"/>
    <col min="7" max="10" width="8.44140625" customWidth="1"/>
  </cols>
  <sheetData>
    <row r="1" spans="2:13" ht="14.25" customHeight="1">
      <c r="L1" s="82" t="s">
        <v>96</v>
      </c>
      <c r="M1" s="83"/>
    </row>
    <row r="2" spans="2:13" ht="14.25" customHeight="1">
      <c r="B2" s="19" t="s">
        <v>97</v>
      </c>
      <c r="C2" s="19"/>
      <c r="D2" s="19"/>
      <c r="E2" s="19"/>
      <c r="F2" s="19"/>
      <c r="G2" s="19"/>
      <c r="H2" s="19"/>
      <c r="I2" s="19"/>
      <c r="J2" s="19"/>
      <c r="L2" s="83"/>
      <c r="M2" s="83"/>
    </row>
    <row r="3" spans="2:13" ht="14.25" customHeight="1">
      <c r="B3" s="20" t="s">
        <v>98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  <c r="L3" s="23" t="s">
        <v>99</v>
      </c>
    </row>
    <row r="4" spans="2:13" ht="14.25" customHeight="1">
      <c r="B4" s="24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3" t="s">
        <v>101</v>
      </c>
    </row>
    <row r="5" spans="2:13" ht="14.25" customHeight="1">
      <c r="B5" s="24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F4*F11</f>
        <v>1995.9571154515827</v>
      </c>
      <c r="G5" s="14">
        <f t="shared" ref="G5:J5" si="1">G4*G11</f>
        <v>2144.3445116404519</v>
      </c>
      <c r="H5" s="14">
        <f t="shared" si="1"/>
        <v>2303.7636174673962</v>
      </c>
      <c r="I5" s="14">
        <f t="shared" si="1"/>
        <v>2475.0345741348665</v>
      </c>
      <c r="J5" s="14">
        <f t="shared" si="1"/>
        <v>2659.0384954065948</v>
      </c>
      <c r="L5" s="23" t="s">
        <v>103</v>
      </c>
    </row>
    <row r="6" spans="2:13" ht="14.25" customHeight="1">
      <c r="B6" s="24" t="s">
        <v>104</v>
      </c>
      <c r="C6" s="14">
        <f>C7-C4+C5</f>
        <v>2701</v>
      </c>
      <c r="D6" s="14">
        <f t="shared" ref="D6:E6" si="2">D7-D4+D5</f>
        <v>5350</v>
      </c>
      <c r="E6" s="14">
        <f t="shared" si="2"/>
        <v>3568</v>
      </c>
      <c r="F6" s="14">
        <f>F4*F12</f>
        <v>3957.2999999999997</v>
      </c>
      <c r="G6" s="14">
        <f t="shared" ref="G6:J6" si="3">G4*G12</f>
        <v>4251.501432682262</v>
      </c>
      <c r="H6" s="14">
        <f t="shared" si="3"/>
        <v>4567.5749708385338</v>
      </c>
      <c r="I6" s="14">
        <f t="shared" si="3"/>
        <v>4907.1466738442041</v>
      </c>
      <c r="J6" s="14">
        <f t="shared" si="3"/>
        <v>5271.9634888006049</v>
      </c>
      <c r="L6" s="25" t="s">
        <v>105</v>
      </c>
    </row>
    <row r="7" spans="2:13" ht="14.25" customHeight="1">
      <c r="B7" s="26" t="s">
        <v>106</v>
      </c>
      <c r="C7" s="27">
        <f>SUM('Balance Sheet'!D11:D12)</f>
        <v>20890</v>
      </c>
      <c r="D7" s="27">
        <f>SUM('Balance Sheet'!E11:E12)</f>
        <v>24595</v>
      </c>
      <c r="E7" s="27">
        <f>SUM('Balance Sheet'!F11:F12)</f>
        <v>26382</v>
      </c>
      <c r="F7" s="27">
        <f>F4-F5+F6</f>
        <v>28343.342884548416</v>
      </c>
      <c r="G7" s="27">
        <f t="shared" ref="G7:J7" si="4">G4-G5+G6</f>
        <v>30450.499805590225</v>
      </c>
      <c r="H7" s="27">
        <f t="shared" si="4"/>
        <v>32714.311158961362</v>
      </c>
      <c r="I7" s="27">
        <f t="shared" si="4"/>
        <v>35146.4232586707</v>
      </c>
      <c r="J7" s="27">
        <f t="shared" si="4"/>
        <v>37759.348252064709</v>
      </c>
    </row>
    <row r="8" spans="2:13" ht="14.25" customHeight="1">
      <c r="E8" s="14"/>
    </row>
    <row r="9" spans="2:13" ht="14.25" customHeight="1">
      <c r="B9" s="19" t="s">
        <v>107</v>
      </c>
      <c r="C9" s="19"/>
      <c r="D9" s="19"/>
      <c r="E9" s="19"/>
      <c r="F9" s="19"/>
      <c r="G9" s="19"/>
      <c r="H9" s="19"/>
      <c r="I9" s="19"/>
      <c r="J9" s="19"/>
    </row>
    <row r="10" spans="2:13" ht="14.25" customHeight="1">
      <c r="B10" s="20" t="s">
        <v>98</v>
      </c>
      <c r="C10" s="21">
        <v>43830</v>
      </c>
      <c r="D10" s="21">
        <v>44196</v>
      </c>
      <c r="E10" s="21">
        <v>44561</v>
      </c>
      <c r="F10" s="22">
        <v>44926</v>
      </c>
      <c r="G10" s="22">
        <v>45291</v>
      </c>
      <c r="H10" s="22">
        <v>45657</v>
      </c>
      <c r="I10" s="22">
        <v>46022</v>
      </c>
      <c r="J10" s="22">
        <v>46387</v>
      </c>
    </row>
    <row r="11" spans="2:13" ht="14.25" customHeight="1">
      <c r="B11" s="28" t="s">
        <v>108</v>
      </c>
      <c r="C11" s="29">
        <f t="shared" ref="C11:E11" si="5">C5/C4</f>
        <v>7.5809156038819159E-2</v>
      </c>
      <c r="D11" s="29">
        <f t="shared" si="5"/>
        <v>7.8745811393011012E-2</v>
      </c>
      <c r="E11" s="29">
        <f t="shared" si="5"/>
        <v>7.2413092091888592E-2</v>
      </c>
      <c r="F11" s="29">
        <f>AVERAGE(C11:E11)</f>
        <v>7.5656019841239583E-2</v>
      </c>
      <c r="G11" s="29">
        <f t="shared" ref="G11:J11" si="6">F11</f>
        <v>7.5656019841239583E-2</v>
      </c>
      <c r="H11" s="29">
        <f t="shared" si="6"/>
        <v>7.5656019841239583E-2</v>
      </c>
      <c r="I11" s="29">
        <f t="shared" si="6"/>
        <v>7.5656019841239583E-2</v>
      </c>
      <c r="J11" s="29">
        <f t="shared" si="6"/>
        <v>7.5656019841239583E-2</v>
      </c>
    </row>
    <row r="12" spans="2:13" ht="14.25" customHeight="1">
      <c r="B12" s="28" t="s">
        <v>109</v>
      </c>
      <c r="C12" s="29">
        <f t="shared" ref="C12:E12" si="7">C6/C4</f>
        <v>0.13723896143488643</v>
      </c>
      <c r="D12" s="29">
        <f t="shared" si="7"/>
        <v>0.25610339875538535</v>
      </c>
      <c r="E12" s="29">
        <f t="shared" si="7"/>
        <v>0.14507013620654605</v>
      </c>
      <c r="F12" s="29">
        <v>0.15</v>
      </c>
      <c r="G12" s="29">
        <f t="shared" ref="G12:J12" si="8">F12</f>
        <v>0.15</v>
      </c>
      <c r="H12" s="29">
        <f t="shared" si="8"/>
        <v>0.15</v>
      </c>
      <c r="I12" s="29">
        <f t="shared" si="8"/>
        <v>0.15</v>
      </c>
      <c r="J12" s="29">
        <f t="shared" si="8"/>
        <v>0.15</v>
      </c>
    </row>
    <row r="13" spans="2:13" ht="14.25" customHeight="1">
      <c r="C13" s="30"/>
      <c r="D13" s="30"/>
      <c r="E13" s="30"/>
      <c r="F13" s="30"/>
      <c r="G13" s="30"/>
      <c r="H13" s="30"/>
      <c r="I13" s="30"/>
      <c r="J13" s="30"/>
    </row>
    <row r="14" spans="2:13" ht="14.25" customHeight="1">
      <c r="C14" s="30"/>
      <c r="D14" s="30"/>
      <c r="E14" s="30"/>
      <c r="F14" s="30"/>
      <c r="G14" s="30"/>
      <c r="H14" s="30"/>
      <c r="I14" s="30"/>
      <c r="J14" s="30"/>
    </row>
    <row r="15" spans="2:13" ht="14.25" customHeight="1">
      <c r="C15" s="30"/>
      <c r="D15" s="30"/>
      <c r="E15" s="30"/>
      <c r="F15" s="30"/>
      <c r="G15" s="30"/>
      <c r="H15" s="30"/>
      <c r="I15" s="30"/>
      <c r="J15" s="30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5"/>
  <sheetViews>
    <sheetView showGridLines="0" topLeftCell="B2" workbookViewId="0">
      <selection activeCell="F10" sqref="F10"/>
    </sheetView>
  </sheetViews>
  <sheetFormatPr defaultColWidth="14.44140625" defaultRowHeight="15" customHeight="1"/>
  <cols>
    <col min="1" max="1" width="8.88671875" customWidth="1"/>
    <col min="2" max="2" width="45.44140625" customWidth="1"/>
    <col min="3" max="10" width="10.44140625" customWidth="1"/>
  </cols>
  <sheetData>
    <row r="1" spans="2:13" ht="14.25" customHeight="1">
      <c r="L1" s="82" t="s">
        <v>96</v>
      </c>
      <c r="M1" s="83"/>
    </row>
    <row r="2" spans="2:13" ht="14.25" customHeight="1">
      <c r="B2" s="19" t="s">
        <v>110</v>
      </c>
      <c r="C2" s="19"/>
      <c r="D2" s="19"/>
      <c r="E2" s="19"/>
      <c r="F2" s="19"/>
      <c r="G2" s="19"/>
      <c r="H2" s="19"/>
      <c r="I2" s="19"/>
      <c r="J2" s="19"/>
      <c r="L2" s="83"/>
      <c r="M2" s="83"/>
    </row>
    <row r="3" spans="2:13" ht="14.25" customHeight="1">
      <c r="B3" s="20" t="s">
        <v>98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  <c r="L3" s="25" t="s">
        <v>111</v>
      </c>
    </row>
    <row r="4" spans="2:13" ht="14.25" customHeight="1">
      <c r="B4" s="24" t="s">
        <v>112</v>
      </c>
      <c r="C4" s="31">
        <f>'Income Statement'!C5</f>
        <v>152703</v>
      </c>
      <c r="D4" s="31">
        <f>'Income Statement'!D5</f>
        <v>166761</v>
      </c>
      <c r="E4" s="31">
        <f>'Income Statement'!E5</f>
        <v>195929</v>
      </c>
      <c r="F4" s="31">
        <f>E4*(1+F23)</f>
        <v>215521.90000000002</v>
      </c>
      <c r="G4" s="31">
        <f>F4*(1+G23)</f>
        <v>237074.09000000005</v>
      </c>
      <c r="H4" s="31">
        <f t="shared" ref="H4:J4" si="0">G4*(1+H23)</f>
        <v>258410.75810000006</v>
      </c>
      <c r="I4" s="31">
        <f t="shared" si="0"/>
        <v>276499.51116700011</v>
      </c>
      <c r="J4" s="31">
        <f t="shared" si="0"/>
        <v>290324.48672535014</v>
      </c>
      <c r="L4" s="25" t="s">
        <v>113</v>
      </c>
    </row>
    <row r="5" spans="2:13" ht="14.25" customHeight="1">
      <c r="B5" s="32" t="s">
        <v>114</v>
      </c>
      <c r="C5" s="33">
        <f>'Income Statement'!C7</f>
        <v>132886</v>
      </c>
      <c r="D5" s="33">
        <f>'Income Statement'!D7</f>
        <v>144939</v>
      </c>
      <c r="E5" s="33">
        <f>'Income Statement'!E7</f>
        <v>170684</v>
      </c>
      <c r="F5" s="33">
        <f>F4*F25</f>
        <v>187541.37989690871</v>
      </c>
      <c r="G5" s="33">
        <f t="shared" ref="G5:J5" si="1">G4*G25</f>
        <v>206295.51788659961</v>
      </c>
      <c r="H5" s="33">
        <f t="shared" si="1"/>
        <v>224862.11449639357</v>
      </c>
      <c r="I5" s="33">
        <f t="shared" si="1"/>
        <v>240602.46251114114</v>
      </c>
      <c r="J5" s="33">
        <f t="shared" si="1"/>
        <v>252632.58563669823</v>
      </c>
      <c r="L5" s="25" t="s">
        <v>115</v>
      </c>
    </row>
    <row r="6" spans="2:13" ht="14.25" customHeight="1">
      <c r="B6" s="34" t="s">
        <v>116</v>
      </c>
      <c r="C6" s="35">
        <f t="shared" ref="C6:J6" si="2">C4-C5</f>
        <v>19817</v>
      </c>
      <c r="D6" s="35">
        <f t="shared" si="2"/>
        <v>21822</v>
      </c>
      <c r="E6" s="35">
        <f t="shared" si="2"/>
        <v>25245</v>
      </c>
      <c r="F6" s="35">
        <f t="shared" si="2"/>
        <v>27980.520103091316</v>
      </c>
      <c r="G6" s="35">
        <f t="shared" si="2"/>
        <v>30778.572113400442</v>
      </c>
      <c r="H6" s="35">
        <f t="shared" si="2"/>
        <v>33548.643603606499</v>
      </c>
      <c r="I6" s="35">
        <f t="shared" si="2"/>
        <v>35897.048655858962</v>
      </c>
      <c r="J6" s="35">
        <f t="shared" si="2"/>
        <v>37691.90108865191</v>
      </c>
      <c r="L6" s="25" t="s">
        <v>117</v>
      </c>
    </row>
    <row r="7" spans="2:13" ht="14.25" customHeight="1">
      <c r="B7" s="24" t="s">
        <v>118</v>
      </c>
      <c r="C7" s="31"/>
      <c r="D7" s="31"/>
      <c r="E7" s="31"/>
      <c r="F7" s="31"/>
      <c r="G7" s="31"/>
      <c r="H7" s="31"/>
      <c r="I7" s="31"/>
      <c r="J7" s="31"/>
      <c r="L7" s="25" t="s">
        <v>119</v>
      </c>
    </row>
    <row r="8" spans="2:13" ht="14.25" customHeight="1">
      <c r="B8" s="24" t="s">
        <v>120</v>
      </c>
      <c r="C8" s="31">
        <f>SUM('Income Statement'!C8,'Income Statement'!C10)</f>
        <v>13588</v>
      </c>
      <c r="D8" s="31">
        <f>SUM('Income Statement'!D8,'Income Statement'!D10)</f>
        <v>14742</v>
      </c>
      <c r="E8" s="31">
        <f>SUM('Income Statement'!E8,'Income Statement'!E10)</f>
        <v>16756</v>
      </c>
      <c r="F8" s="31">
        <f>F4*F26</f>
        <v>18887.32847958626</v>
      </c>
      <c r="G8" s="31">
        <f t="shared" ref="G8:J8" si="3">G4*G26</f>
        <v>20776.061327544889</v>
      </c>
      <c r="H8" s="31">
        <f t="shared" si="3"/>
        <v>22645.906847023929</v>
      </c>
      <c r="I8" s="31">
        <f t="shared" si="3"/>
        <v>24231.120326315606</v>
      </c>
      <c r="J8" s="31">
        <f t="shared" si="3"/>
        <v>25442.676342631388</v>
      </c>
      <c r="L8" s="25" t="s">
        <v>121</v>
      </c>
    </row>
    <row r="9" spans="2:13" ht="14.25" customHeight="1">
      <c r="B9" s="32" t="s">
        <v>122</v>
      </c>
      <c r="C9" s="33">
        <f t="shared" ref="C9:J9" si="4">SUM(C8)</f>
        <v>13588</v>
      </c>
      <c r="D9" s="33">
        <f t="shared" si="4"/>
        <v>14742</v>
      </c>
      <c r="E9" s="33">
        <f t="shared" si="4"/>
        <v>16756</v>
      </c>
      <c r="F9" s="33">
        <f t="shared" si="4"/>
        <v>18887.32847958626</v>
      </c>
      <c r="G9" s="33">
        <f t="shared" si="4"/>
        <v>20776.061327544889</v>
      </c>
      <c r="H9" s="33">
        <f t="shared" si="4"/>
        <v>22645.906847023929</v>
      </c>
      <c r="I9" s="33">
        <f t="shared" si="4"/>
        <v>24231.120326315606</v>
      </c>
      <c r="J9" s="33">
        <f t="shared" si="4"/>
        <v>25442.676342631388</v>
      </c>
      <c r="L9" s="25" t="s">
        <v>123</v>
      </c>
    </row>
    <row r="10" spans="2:13" ht="14.25" customHeight="1">
      <c r="B10" s="34" t="s">
        <v>124</v>
      </c>
      <c r="C10" s="35">
        <f t="shared" ref="C10:J10" si="5">C6-C9</f>
        <v>6229</v>
      </c>
      <c r="D10" s="35">
        <f t="shared" si="5"/>
        <v>7080</v>
      </c>
      <c r="E10" s="35">
        <f t="shared" si="5"/>
        <v>8489</v>
      </c>
      <c r="F10" s="35">
        <f>F6-F9</f>
        <v>9093.1916235050558</v>
      </c>
      <c r="G10" s="35">
        <f t="shared" si="5"/>
        <v>10002.510785855553</v>
      </c>
      <c r="H10" s="35">
        <f t="shared" si="5"/>
        <v>10902.73675658257</v>
      </c>
      <c r="I10" s="35">
        <f t="shared" si="5"/>
        <v>11665.928329543356</v>
      </c>
      <c r="J10" s="35">
        <f t="shared" si="5"/>
        <v>12249.224746020522</v>
      </c>
      <c r="L10" s="25" t="s">
        <v>125</v>
      </c>
    </row>
    <row r="11" spans="2:13" ht="14.25" customHeight="1">
      <c r="B11" s="32" t="s">
        <v>9</v>
      </c>
      <c r="C11" s="33">
        <f>'Income Statement'!C9</f>
        <v>1492</v>
      </c>
      <c r="D11" s="33">
        <f>'Income Statement'!D9</f>
        <v>1645</v>
      </c>
      <c r="E11" s="33">
        <f>'Income Statement'!E9</f>
        <v>1781</v>
      </c>
      <c r="F11" s="33">
        <f>'Fixed Assets'!F5</f>
        <v>1995.9571154515827</v>
      </c>
      <c r="G11" s="33">
        <f>'Fixed Assets'!G5</f>
        <v>2144.3445116404519</v>
      </c>
      <c r="H11" s="33">
        <f>'Fixed Assets'!H5</f>
        <v>2303.7636174673962</v>
      </c>
      <c r="I11" s="33">
        <f>'Fixed Assets'!I5</f>
        <v>2475.0345741348665</v>
      </c>
      <c r="J11" s="33">
        <f>'Fixed Assets'!J5</f>
        <v>2659.0384954065948</v>
      </c>
      <c r="L11" s="23" t="s">
        <v>126</v>
      </c>
    </row>
    <row r="12" spans="2:13" ht="14.25" customHeight="1">
      <c r="B12" s="34" t="s">
        <v>127</v>
      </c>
      <c r="C12" s="35">
        <f t="shared" ref="C12:J12" si="6">C10-C11</f>
        <v>4737</v>
      </c>
      <c r="D12" s="35">
        <f t="shared" si="6"/>
        <v>5435</v>
      </c>
      <c r="E12" s="35">
        <f t="shared" si="6"/>
        <v>6708</v>
      </c>
      <c r="F12" s="35">
        <f t="shared" si="6"/>
        <v>7097.2345080534733</v>
      </c>
      <c r="G12" s="35">
        <f t="shared" si="6"/>
        <v>7858.1662742151011</v>
      </c>
      <c r="H12" s="35">
        <f t="shared" si="6"/>
        <v>8598.9731391151727</v>
      </c>
      <c r="I12" s="35">
        <f t="shared" si="6"/>
        <v>9190.8937554084896</v>
      </c>
      <c r="J12" s="35">
        <f t="shared" si="6"/>
        <v>9590.1862506139259</v>
      </c>
      <c r="L12" s="25" t="s">
        <v>128</v>
      </c>
    </row>
    <row r="13" spans="2:13" ht="14.25" customHeight="1">
      <c r="B13" s="32" t="s">
        <v>129</v>
      </c>
      <c r="C13" s="33">
        <f>'Income Statement'!C16</f>
        <v>1061</v>
      </c>
      <c r="D13" s="33">
        <f>'Income Statement'!D16</f>
        <v>1308</v>
      </c>
      <c r="E13" s="33">
        <f>'Income Statement'!E16</f>
        <v>1601</v>
      </c>
      <c r="F13" s="33">
        <f>F12*F27</f>
        <v>1490.4192466912293</v>
      </c>
      <c r="G13" s="33">
        <f t="shared" ref="G13:J13" si="7">G12*G27</f>
        <v>1650.2149175851712</v>
      </c>
      <c r="H13" s="33">
        <f t="shared" si="7"/>
        <v>1805.7843592141862</v>
      </c>
      <c r="I13" s="33">
        <f t="shared" si="7"/>
        <v>1930.0876886357828</v>
      </c>
      <c r="J13" s="33">
        <f t="shared" si="7"/>
        <v>2013.9391126289245</v>
      </c>
      <c r="L13" s="25" t="s">
        <v>130</v>
      </c>
    </row>
    <row r="14" spans="2:13" ht="14.25" customHeight="1">
      <c r="B14" s="34" t="s">
        <v>131</v>
      </c>
      <c r="C14" s="35">
        <f t="shared" ref="C14:J14" si="8">C12-C13</f>
        <v>3676</v>
      </c>
      <c r="D14" s="35">
        <f t="shared" si="8"/>
        <v>4127</v>
      </c>
      <c r="E14" s="35">
        <f t="shared" si="8"/>
        <v>5107</v>
      </c>
      <c r="F14" s="35">
        <f t="shared" si="8"/>
        <v>5606.8152613622442</v>
      </c>
      <c r="G14" s="35">
        <f t="shared" si="8"/>
        <v>6207.9513566299302</v>
      </c>
      <c r="H14" s="35">
        <f t="shared" si="8"/>
        <v>6793.1887799009864</v>
      </c>
      <c r="I14" s="35">
        <f t="shared" si="8"/>
        <v>7260.8060667727068</v>
      </c>
      <c r="J14" s="35">
        <f t="shared" si="8"/>
        <v>7576.2471379850012</v>
      </c>
      <c r="L14" s="25" t="s">
        <v>132</v>
      </c>
    </row>
    <row r="15" spans="2:13" ht="14.25" customHeight="1">
      <c r="B15" s="24" t="s">
        <v>133</v>
      </c>
      <c r="C15" s="31">
        <f t="shared" ref="C15:J15" si="9">C11</f>
        <v>1492</v>
      </c>
      <c r="D15" s="31">
        <f t="shared" si="9"/>
        <v>1645</v>
      </c>
      <c r="E15" s="31">
        <f t="shared" si="9"/>
        <v>1781</v>
      </c>
      <c r="F15" s="31">
        <f t="shared" si="9"/>
        <v>1995.9571154515827</v>
      </c>
      <c r="G15" s="31">
        <f t="shared" si="9"/>
        <v>2144.3445116404519</v>
      </c>
      <c r="H15" s="31">
        <f t="shared" si="9"/>
        <v>2303.7636174673962</v>
      </c>
      <c r="I15" s="31">
        <f t="shared" si="9"/>
        <v>2475.0345741348665</v>
      </c>
      <c r="J15" s="31">
        <f t="shared" si="9"/>
        <v>2659.0384954065948</v>
      </c>
      <c r="L15" s="25" t="s">
        <v>134</v>
      </c>
    </row>
    <row r="16" spans="2:13" ht="14.25" customHeight="1">
      <c r="B16" s="24" t="s">
        <v>135</v>
      </c>
      <c r="C16" s="31">
        <f>'Fixed Assets'!C6</f>
        <v>2701</v>
      </c>
      <c r="D16" s="31">
        <f>'Fixed Assets'!D6</f>
        <v>5350</v>
      </c>
      <c r="E16" s="31">
        <f>'Fixed Assets'!E6</f>
        <v>3568</v>
      </c>
      <c r="F16" s="31">
        <f>'Fixed Assets'!F6</f>
        <v>3957.2999999999997</v>
      </c>
      <c r="G16" s="31">
        <f>'Fixed Assets'!G6</f>
        <v>4251.501432682262</v>
      </c>
      <c r="H16" s="31">
        <f>'Fixed Assets'!H6</f>
        <v>4567.5749708385338</v>
      </c>
      <c r="I16" s="31">
        <f>'Fixed Assets'!I6</f>
        <v>4907.1466738442041</v>
      </c>
      <c r="J16" s="31">
        <f>'Fixed Assets'!J6</f>
        <v>5271.9634888006049</v>
      </c>
      <c r="L16" s="25" t="s">
        <v>136</v>
      </c>
    </row>
    <row r="17" spans="2:10" ht="14.25" customHeight="1">
      <c r="B17" s="24" t="s">
        <v>137</v>
      </c>
      <c r="C17" s="31">
        <f>C18-(-6806)</f>
        <v>-691</v>
      </c>
      <c r="D17" s="31">
        <f t="shared" ref="D17" si="10">D18-C18</f>
        <v>-2437</v>
      </c>
      <c r="E17" s="31">
        <f>E18-D18</f>
        <v>-1378</v>
      </c>
      <c r="F17" s="31">
        <f>F18-E18</f>
        <v>-244</v>
      </c>
      <c r="G17" s="31">
        <f t="shared" ref="G17:J17" si="11">G18-F18</f>
        <v>-1156</v>
      </c>
      <c r="H17" s="31">
        <f t="shared" si="11"/>
        <v>-1144</v>
      </c>
      <c r="I17" s="31">
        <f t="shared" si="11"/>
        <v>-970</v>
      </c>
      <c r="J17" s="31">
        <f t="shared" si="11"/>
        <v>-741</v>
      </c>
    </row>
    <row r="18" spans="2:10" ht="14.25" customHeight="1">
      <c r="B18" s="36" t="s">
        <v>138</v>
      </c>
      <c r="C18" s="31">
        <f t="shared" ref="C18:J18" si="12">C29-C30</f>
        <v>-7497</v>
      </c>
      <c r="D18" s="31">
        <f t="shared" si="12"/>
        <v>-9934</v>
      </c>
      <c r="E18" s="31">
        <f t="shared" si="12"/>
        <v>-11312</v>
      </c>
      <c r="F18" s="31">
        <f>F29-F30</f>
        <v>-11556</v>
      </c>
      <c r="G18" s="31">
        <f t="shared" si="12"/>
        <v>-12712</v>
      </c>
      <c r="H18" s="31">
        <f t="shared" si="12"/>
        <v>-13856</v>
      </c>
      <c r="I18" s="31">
        <f t="shared" si="12"/>
        <v>-14826</v>
      </c>
      <c r="J18" s="31">
        <f t="shared" si="12"/>
        <v>-15567</v>
      </c>
    </row>
    <row r="19" spans="2:10" ht="14.25" customHeight="1">
      <c r="B19" s="37" t="s">
        <v>139</v>
      </c>
      <c r="C19" s="38">
        <f t="shared" ref="C19:J19" si="13">C14+C15-C16-C17</f>
        <v>3158</v>
      </c>
      <c r="D19" s="38">
        <f t="shared" si="13"/>
        <v>2859</v>
      </c>
      <c r="E19" s="38">
        <f t="shared" si="13"/>
        <v>4698</v>
      </c>
      <c r="F19" s="38">
        <f t="shared" si="13"/>
        <v>3889.4723768138269</v>
      </c>
      <c r="G19" s="38">
        <f t="shared" si="13"/>
        <v>5256.7944355881209</v>
      </c>
      <c r="H19" s="38">
        <f t="shared" si="13"/>
        <v>5673.3774265298489</v>
      </c>
      <c r="I19" s="38">
        <f t="shared" si="13"/>
        <v>5798.6939670633683</v>
      </c>
      <c r="J19" s="38">
        <f t="shared" si="13"/>
        <v>5704.3221445909903</v>
      </c>
    </row>
    <row r="20" spans="2:10" ht="14.25" customHeight="1"/>
    <row r="21" spans="2:10" ht="14.25" customHeight="1">
      <c r="B21" s="19" t="s">
        <v>107</v>
      </c>
      <c r="C21" s="19"/>
      <c r="D21" s="19"/>
      <c r="E21" s="19"/>
      <c r="F21" s="19"/>
      <c r="G21" s="19"/>
      <c r="H21" s="19"/>
      <c r="I21" s="19"/>
      <c r="J21" s="19"/>
    </row>
    <row r="22" spans="2:10" ht="14.25" customHeight="1">
      <c r="B22" s="20" t="str">
        <f t="shared" ref="B22:J22" si="14">B3</f>
        <v>Fiscal Year</v>
      </c>
      <c r="C22" s="21">
        <f t="shared" si="14"/>
        <v>43830</v>
      </c>
      <c r="D22" s="21">
        <f t="shared" si="14"/>
        <v>44196</v>
      </c>
      <c r="E22" s="21">
        <f t="shared" si="14"/>
        <v>44561</v>
      </c>
      <c r="F22" s="22">
        <f t="shared" si="14"/>
        <v>44926</v>
      </c>
      <c r="G22" s="22">
        <f t="shared" si="14"/>
        <v>45291</v>
      </c>
      <c r="H22" s="22">
        <f t="shared" si="14"/>
        <v>45657</v>
      </c>
      <c r="I22" s="22">
        <f t="shared" si="14"/>
        <v>46022</v>
      </c>
      <c r="J22" s="22">
        <f t="shared" si="14"/>
        <v>46387</v>
      </c>
    </row>
    <row r="23" spans="2:10" ht="14.25" customHeight="1">
      <c r="B23" s="28" t="s">
        <v>140</v>
      </c>
      <c r="C23" s="28"/>
      <c r="D23" s="29">
        <f t="shared" ref="D23:E23" si="15">D4/C4-1</f>
        <v>9.2061059704131587E-2</v>
      </c>
      <c r="E23" s="29">
        <f t="shared" si="15"/>
        <v>0.17490900150514799</v>
      </c>
      <c r="F23" s="29">
        <v>0.1</v>
      </c>
      <c r="G23" s="29">
        <v>0.1</v>
      </c>
      <c r="H23" s="29">
        <v>0.09</v>
      </c>
      <c r="I23" s="29">
        <v>7.0000000000000007E-2</v>
      </c>
      <c r="J23" s="29">
        <v>0.05</v>
      </c>
    </row>
    <row r="24" spans="2:10" ht="14.25" customHeight="1">
      <c r="B24" s="28"/>
      <c r="C24" s="28"/>
      <c r="D24" s="28"/>
      <c r="E24" s="28"/>
      <c r="F24" s="28"/>
      <c r="G24" s="28"/>
      <c r="H24" s="28"/>
      <c r="I24" s="28"/>
      <c r="J24" s="28"/>
    </row>
    <row r="25" spans="2:10" ht="14.25" customHeight="1">
      <c r="B25" s="28" t="s">
        <v>141</v>
      </c>
      <c r="C25" s="29">
        <f t="shared" ref="C25:E25" si="16">C5/C4</f>
        <v>0.87022520841109863</v>
      </c>
      <c r="D25" s="29">
        <f t="shared" si="16"/>
        <v>0.86914206559087559</v>
      </c>
      <c r="E25" s="29">
        <f t="shared" si="16"/>
        <v>0.87115230517177145</v>
      </c>
      <c r="F25" s="29">
        <f t="shared" ref="F25:F26" si="17">AVERAGE(C25:E25)</f>
        <v>0.87017319305791518</v>
      </c>
      <c r="G25" s="29">
        <f t="shared" ref="G25:J25" si="18">F25</f>
        <v>0.87017319305791518</v>
      </c>
      <c r="H25" s="29">
        <f t="shared" si="18"/>
        <v>0.87017319305791518</v>
      </c>
      <c r="I25" s="29">
        <f t="shared" si="18"/>
        <v>0.87017319305791518</v>
      </c>
      <c r="J25" s="29">
        <f t="shared" si="18"/>
        <v>0.87017319305791518</v>
      </c>
    </row>
    <row r="26" spans="2:10" ht="14.25" customHeight="1">
      <c r="B26" s="28" t="s">
        <v>142</v>
      </c>
      <c r="C26" s="29">
        <f t="shared" ref="C26:E26" si="19">C8/C4</f>
        <v>8.8983189590250353E-2</v>
      </c>
      <c r="D26" s="29">
        <f t="shared" si="19"/>
        <v>8.8401964488099741E-2</v>
      </c>
      <c r="E26" s="29">
        <f t="shared" si="19"/>
        <v>8.5520775382919328E-2</v>
      </c>
      <c r="F26" s="29">
        <f t="shared" si="17"/>
        <v>8.7635309820423155E-2</v>
      </c>
      <c r="G26" s="29">
        <f t="shared" ref="G26:J26" si="20">F26</f>
        <v>8.7635309820423155E-2</v>
      </c>
      <c r="H26" s="29">
        <f t="shared" si="20"/>
        <v>8.7635309820423155E-2</v>
      </c>
      <c r="I26" s="29">
        <f t="shared" si="20"/>
        <v>8.7635309820423155E-2</v>
      </c>
      <c r="J26" s="29">
        <f t="shared" si="20"/>
        <v>8.7635309820423155E-2</v>
      </c>
    </row>
    <row r="27" spans="2:10" ht="14.25" customHeight="1">
      <c r="B27" s="28" t="s">
        <v>143</v>
      </c>
      <c r="C27" s="29">
        <f t="shared" ref="C27:E27" si="21">C13/C12</f>
        <v>0.22398142284146083</v>
      </c>
      <c r="D27" s="29">
        <f t="shared" si="21"/>
        <v>0.24066237350505978</v>
      </c>
      <c r="E27" s="29">
        <f t="shared" si="21"/>
        <v>0.23867024448419796</v>
      </c>
      <c r="F27" s="29">
        <v>0.21</v>
      </c>
      <c r="G27" s="29">
        <v>0.21</v>
      </c>
      <c r="H27" s="29">
        <v>0.21</v>
      </c>
      <c r="I27" s="29">
        <v>0.21</v>
      </c>
      <c r="J27" s="29">
        <v>0.21</v>
      </c>
    </row>
    <row r="28" spans="2:10" ht="14.25" customHeight="1"/>
    <row r="29" spans="2:10" ht="14.25" customHeight="1">
      <c r="B29" s="39" t="s">
        <v>144</v>
      </c>
      <c r="C29" s="14">
        <v>14041</v>
      </c>
      <c r="D29" s="14">
        <v>14815</v>
      </c>
      <c r="E29" s="14">
        <v>17330</v>
      </c>
      <c r="F29" s="40">
        <v>19467</v>
      </c>
      <c r="G29" s="40">
        <v>21414</v>
      </c>
      <c r="H29" s="40">
        <v>23341</v>
      </c>
      <c r="I29" s="40">
        <v>24975</v>
      </c>
      <c r="J29" s="40">
        <v>26224</v>
      </c>
    </row>
    <row r="30" spans="2:10" ht="14.25" customHeight="1">
      <c r="B30" s="39" t="s">
        <v>145</v>
      </c>
      <c r="C30" s="14">
        <v>21538</v>
      </c>
      <c r="D30" s="14">
        <v>24749</v>
      </c>
      <c r="E30" s="14">
        <v>28642</v>
      </c>
      <c r="F30" s="40">
        <v>31023</v>
      </c>
      <c r="G30" s="40">
        <v>34126</v>
      </c>
      <c r="H30" s="40">
        <v>37197</v>
      </c>
      <c r="I30" s="40">
        <v>39801</v>
      </c>
      <c r="J30" s="40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995"/>
  <sheetViews>
    <sheetView showGridLines="0" workbookViewId="0">
      <selection activeCell="C10" sqref="C10"/>
    </sheetView>
  </sheetViews>
  <sheetFormatPr defaultColWidth="14.44140625" defaultRowHeight="15" customHeight="1"/>
  <cols>
    <col min="1" max="1" width="8.88671875" customWidth="1"/>
    <col min="2" max="2" width="37.109375" customWidth="1"/>
    <col min="3" max="3" width="13.33203125" customWidth="1"/>
    <col min="4" max="5" width="8.88671875" customWidth="1"/>
  </cols>
  <sheetData>
    <row r="1" spans="2:7" ht="14.25" customHeight="1">
      <c r="C1" s="41"/>
      <c r="F1" s="82" t="s">
        <v>96</v>
      </c>
      <c r="G1" s="83"/>
    </row>
    <row r="2" spans="2:7" ht="14.25" customHeight="1">
      <c r="B2" s="84" t="s">
        <v>146</v>
      </c>
      <c r="C2" s="85"/>
      <c r="F2" s="83"/>
      <c r="G2" s="83"/>
    </row>
    <row r="3" spans="2:7" ht="18" customHeight="1">
      <c r="B3" s="42" t="s">
        <v>147</v>
      </c>
      <c r="C3" s="43">
        <v>214560</v>
      </c>
      <c r="F3" s="44" t="s">
        <v>148</v>
      </c>
    </row>
    <row r="4" spans="2:7" ht="19.5" customHeight="1">
      <c r="B4" s="42" t="s">
        <v>149</v>
      </c>
      <c r="C4" s="45">
        <v>7491</v>
      </c>
      <c r="F4" s="46" t="s">
        <v>150</v>
      </c>
    </row>
    <row r="5" spans="2:7" ht="13.5" customHeight="1">
      <c r="B5" s="42" t="s">
        <v>151</v>
      </c>
      <c r="C5" s="47">
        <v>0.21</v>
      </c>
    </row>
    <row r="6" spans="2:7" ht="14.25" customHeight="1">
      <c r="B6" s="42" t="s">
        <v>152</v>
      </c>
      <c r="C6" s="48">
        <v>2.3E-2</v>
      </c>
    </row>
    <row r="7" spans="2:7" ht="14.25" customHeight="1">
      <c r="B7" s="42" t="s">
        <v>153</v>
      </c>
      <c r="C7" s="48">
        <v>6.4000000000000001E-2</v>
      </c>
    </row>
    <row r="8" spans="2:7" ht="14.25" customHeight="1">
      <c r="B8" s="42" t="s">
        <v>154</v>
      </c>
      <c r="C8" s="45">
        <v>222051</v>
      </c>
    </row>
    <row r="9" spans="2:7" ht="14.25" customHeight="1">
      <c r="B9" s="49"/>
      <c r="C9" s="50"/>
    </row>
    <row r="10" spans="2:7" ht="14.25" customHeight="1">
      <c r="B10" s="49" t="s">
        <v>155</v>
      </c>
      <c r="C10" s="50">
        <f>C6*(1-C5)</f>
        <v>1.8170000000000002E-2</v>
      </c>
    </row>
    <row r="11" spans="2:7" ht="14.25" customHeight="1">
      <c r="B11" s="42" t="s">
        <v>156</v>
      </c>
      <c r="C11" s="54">
        <f>C3/C8</f>
        <v>0.96626450680249132</v>
      </c>
    </row>
    <row r="12" spans="2:7" ht="14.25" customHeight="1">
      <c r="B12" s="42" t="s">
        <v>157</v>
      </c>
      <c r="C12" s="54">
        <f>C4/C8</f>
        <v>3.3735493197508681E-2</v>
      </c>
    </row>
    <row r="13" spans="2:7" ht="14.25" customHeight="1">
      <c r="B13" s="37" t="s">
        <v>158</v>
      </c>
      <c r="C13" s="51">
        <f>(C11*C7)+(C12*C10)</f>
        <v>6.2453902346758176E-2</v>
      </c>
    </row>
    <row r="14" spans="2:7" ht="14.25" customHeight="1">
      <c r="C14" s="41"/>
    </row>
    <row r="15" spans="2:7" ht="14.25" customHeight="1">
      <c r="C15" s="41"/>
    </row>
    <row r="16" spans="2:7" ht="14.4">
      <c r="C16" s="41"/>
    </row>
    <row r="17" spans="3:5" ht="14.4">
      <c r="C17" s="41"/>
      <c r="E17" s="52"/>
    </row>
    <row r="18" spans="3:5" ht="14.4">
      <c r="C18" s="41"/>
    </row>
    <row r="19" spans="3:5" ht="14.25" customHeight="1">
      <c r="C19" s="41"/>
    </row>
    <row r="20" spans="3:5" ht="14.25" customHeight="1">
      <c r="C20" s="41"/>
    </row>
    <row r="21" spans="3:5" ht="14.25" customHeight="1">
      <c r="C21" s="41"/>
    </row>
    <row r="22" spans="3:5" ht="14.25" customHeight="1">
      <c r="C22" s="41"/>
    </row>
    <row r="23" spans="3:5" ht="14.25" customHeight="1">
      <c r="C23" s="41"/>
    </row>
    <row r="24" spans="3:5" ht="14.25" customHeight="1">
      <c r="C24" s="41"/>
    </row>
    <row r="25" spans="3:5" ht="14.25" customHeight="1">
      <c r="C25" s="41"/>
    </row>
    <row r="26" spans="3:5" ht="14.25" customHeight="1">
      <c r="C26" s="41"/>
    </row>
    <row r="27" spans="3:5" ht="14.25" customHeight="1">
      <c r="C27" s="41"/>
    </row>
    <row r="28" spans="3:5" ht="14.25" customHeight="1">
      <c r="C28" s="41"/>
    </row>
    <row r="29" spans="3:5" ht="14.25" customHeight="1">
      <c r="C29" s="41"/>
    </row>
    <row r="30" spans="3:5" ht="14.25" customHeight="1">
      <c r="C30" s="41"/>
    </row>
    <row r="31" spans="3:5" ht="14.25" customHeight="1">
      <c r="C31" s="41"/>
    </row>
    <row r="32" spans="3:5" ht="14.25" customHeight="1">
      <c r="C32" s="41"/>
    </row>
    <row r="33" spans="3:3" ht="14.25" customHeight="1">
      <c r="C33" s="41"/>
    </row>
    <row r="34" spans="3:3" ht="14.25" customHeight="1">
      <c r="C34" s="41"/>
    </row>
    <row r="35" spans="3:3" ht="14.25" customHeight="1">
      <c r="C35" s="41"/>
    </row>
    <row r="36" spans="3:3" ht="14.25" customHeight="1">
      <c r="C36" s="41"/>
    </row>
    <row r="37" spans="3:3" ht="14.25" customHeight="1">
      <c r="C37" s="41"/>
    </row>
    <row r="38" spans="3:3" ht="14.25" customHeight="1">
      <c r="C38" s="41"/>
    </row>
    <row r="39" spans="3:3" ht="14.25" customHeight="1">
      <c r="C39" s="41"/>
    </row>
    <row r="40" spans="3:3" ht="14.25" customHeight="1">
      <c r="C40" s="41"/>
    </row>
    <row r="41" spans="3:3" ht="14.25" customHeight="1">
      <c r="C41" s="41"/>
    </row>
    <row r="42" spans="3:3" ht="14.25" customHeight="1">
      <c r="C42" s="41"/>
    </row>
    <row r="43" spans="3:3" ht="14.25" customHeight="1">
      <c r="C43" s="41"/>
    </row>
    <row r="44" spans="3:3" ht="14.25" customHeight="1">
      <c r="C44" s="41"/>
    </row>
    <row r="45" spans="3:3" ht="14.25" customHeight="1">
      <c r="C45" s="41"/>
    </row>
    <row r="46" spans="3:3" ht="14.25" customHeight="1">
      <c r="C46" s="41"/>
    </row>
    <row r="47" spans="3:3" ht="14.25" customHeight="1">
      <c r="C47" s="41"/>
    </row>
    <row r="48" spans="3:3" ht="14.25" customHeight="1">
      <c r="C48" s="41"/>
    </row>
    <row r="49" spans="3:3" ht="14.25" customHeight="1">
      <c r="C49" s="41"/>
    </row>
    <row r="50" spans="3:3" ht="14.25" customHeight="1">
      <c r="C50" s="41"/>
    </row>
    <row r="51" spans="3:3" ht="14.25" customHeight="1">
      <c r="C51" s="41"/>
    </row>
    <row r="52" spans="3:3" ht="14.25" customHeight="1">
      <c r="C52" s="41"/>
    </row>
    <row r="53" spans="3:3" ht="14.25" customHeight="1">
      <c r="C53" s="41"/>
    </row>
    <row r="54" spans="3:3" ht="14.25" customHeight="1">
      <c r="C54" s="41"/>
    </row>
    <row r="55" spans="3:3" ht="14.25" customHeight="1">
      <c r="C55" s="41"/>
    </row>
    <row r="56" spans="3:3" ht="14.25" customHeight="1">
      <c r="C56" s="41"/>
    </row>
    <row r="57" spans="3:3" ht="14.25" customHeight="1">
      <c r="C57" s="41"/>
    </row>
    <row r="58" spans="3:3" ht="14.25" customHeight="1">
      <c r="C58" s="41"/>
    </row>
    <row r="59" spans="3:3" ht="14.25" customHeight="1">
      <c r="C59" s="41"/>
    </row>
    <row r="60" spans="3:3" ht="14.25" customHeight="1">
      <c r="C60" s="41"/>
    </row>
    <row r="61" spans="3:3" ht="14.25" customHeight="1">
      <c r="C61" s="41"/>
    </row>
    <row r="62" spans="3:3" ht="14.25" customHeight="1">
      <c r="C62" s="41"/>
    </row>
    <row r="63" spans="3:3" ht="14.25" customHeight="1">
      <c r="C63" s="41"/>
    </row>
    <row r="64" spans="3:3" ht="14.25" customHeight="1">
      <c r="C64" s="41"/>
    </row>
    <row r="65" spans="3:3" ht="14.25" customHeight="1">
      <c r="C65" s="41"/>
    </row>
    <row r="66" spans="3:3" ht="14.25" customHeight="1">
      <c r="C66" s="41"/>
    </row>
    <row r="67" spans="3:3" ht="14.25" customHeight="1">
      <c r="C67" s="41"/>
    </row>
    <row r="68" spans="3:3" ht="14.25" customHeight="1">
      <c r="C68" s="41"/>
    </row>
    <row r="69" spans="3:3" ht="14.25" customHeight="1">
      <c r="C69" s="41"/>
    </row>
    <row r="70" spans="3:3" ht="14.25" customHeight="1">
      <c r="C70" s="41"/>
    </row>
    <row r="71" spans="3:3" ht="14.25" customHeight="1">
      <c r="C71" s="41"/>
    </row>
    <row r="72" spans="3:3" ht="14.25" customHeight="1">
      <c r="C72" s="41"/>
    </row>
    <row r="73" spans="3:3" ht="14.25" customHeight="1">
      <c r="C73" s="41"/>
    </row>
    <row r="74" spans="3:3" ht="14.25" customHeight="1">
      <c r="C74" s="41"/>
    </row>
    <row r="75" spans="3:3" ht="14.25" customHeight="1">
      <c r="C75" s="41"/>
    </row>
    <row r="76" spans="3:3" ht="14.25" customHeight="1">
      <c r="C76" s="41"/>
    </row>
    <row r="77" spans="3:3" ht="14.25" customHeight="1">
      <c r="C77" s="41"/>
    </row>
    <row r="78" spans="3:3" ht="14.25" customHeight="1">
      <c r="C78" s="41"/>
    </row>
    <row r="79" spans="3:3" ht="14.25" customHeight="1">
      <c r="C79" s="41"/>
    </row>
    <row r="80" spans="3:3" ht="14.25" customHeight="1">
      <c r="C80" s="41"/>
    </row>
    <row r="81" spans="3:3" ht="14.25" customHeight="1">
      <c r="C81" s="41"/>
    </row>
    <row r="82" spans="3:3" ht="14.25" customHeight="1">
      <c r="C82" s="41"/>
    </row>
    <row r="83" spans="3:3" ht="14.25" customHeight="1">
      <c r="C83" s="41"/>
    </row>
    <row r="84" spans="3:3" ht="14.25" customHeight="1">
      <c r="C84" s="41"/>
    </row>
    <row r="85" spans="3:3" ht="14.25" customHeight="1">
      <c r="C85" s="41"/>
    </row>
    <row r="86" spans="3:3" ht="14.25" customHeight="1">
      <c r="C86" s="41"/>
    </row>
    <row r="87" spans="3:3" ht="14.25" customHeight="1">
      <c r="C87" s="41"/>
    </row>
    <row r="88" spans="3:3" ht="14.25" customHeight="1">
      <c r="C88" s="41"/>
    </row>
    <row r="89" spans="3:3" ht="14.25" customHeight="1">
      <c r="C89" s="41"/>
    </row>
    <row r="90" spans="3:3" ht="14.25" customHeight="1">
      <c r="C90" s="41"/>
    </row>
    <row r="91" spans="3:3" ht="14.25" customHeight="1">
      <c r="C91" s="41"/>
    </row>
    <row r="92" spans="3:3" ht="14.25" customHeight="1">
      <c r="C92" s="41"/>
    </row>
    <row r="93" spans="3:3" ht="14.25" customHeight="1">
      <c r="C93" s="41"/>
    </row>
    <row r="94" spans="3:3" ht="14.25" customHeight="1">
      <c r="C94" s="41"/>
    </row>
    <row r="95" spans="3:3" ht="14.25" customHeight="1">
      <c r="C95" s="41"/>
    </row>
    <row r="96" spans="3:3" ht="14.25" customHeight="1">
      <c r="C96" s="41"/>
    </row>
    <row r="97" spans="3:3" ht="14.25" customHeight="1">
      <c r="C97" s="41"/>
    </row>
    <row r="98" spans="3:3" ht="14.25" customHeight="1">
      <c r="C98" s="41"/>
    </row>
    <row r="99" spans="3:3" ht="14.25" customHeight="1">
      <c r="C99" s="41"/>
    </row>
    <row r="100" spans="3:3" ht="14.25" customHeight="1">
      <c r="C100" s="41"/>
    </row>
    <row r="101" spans="3:3" ht="14.25" customHeight="1">
      <c r="C101" s="41"/>
    </row>
    <row r="102" spans="3:3" ht="14.25" customHeight="1">
      <c r="C102" s="41"/>
    </row>
    <row r="103" spans="3:3" ht="14.25" customHeight="1">
      <c r="C103" s="41"/>
    </row>
    <row r="104" spans="3:3" ht="14.25" customHeight="1">
      <c r="C104" s="41"/>
    </row>
    <row r="105" spans="3:3" ht="14.25" customHeight="1">
      <c r="C105" s="41"/>
    </row>
    <row r="106" spans="3:3" ht="14.25" customHeight="1">
      <c r="C106" s="41"/>
    </row>
    <row r="107" spans="3:3" ht="14.25" customHeight="1">
      <c r="C107" s="41"/>
    </row>
    <row r="108" spans="3:3" ht="14.25" customHeight="1">
      <c r="C108" s="41"/>
    </row>
    <row r="109" spans="3:3" ht="14.25" customHeight="1">
      <c r="C109" s="41"/>
    </row>
    <row r="110" spans="3:3" ht="14.25" customHeight="1">
      <c r="C110" s="41"/>
    </row>
    <row r="111" spans="3:3" ht="14.25" customHeight="1">
      <c r="C111" s="41"/>
    </row>
    <row r="112" spans="3:3" ht="14.25" customHeight="1">
      <c r="C112" s="41"/>
    </row>
    <row r="113" spans="3:3" ht="14.25" customHeight="1">
      <c r="C113" s="41"/>
    </row>
    <row r="114" spans="3:3" ht="14.25" customHeight="1">
      <c r="C114" s="41"/>
    </row>
    <row r="115" spans="3:3" ht="14.25" customHeight="1">
      <c r="C115" s="41"/>
    </row>
    <row r="116" spans="3:3" ht="14.25" customHeight="1">
      <c r="C116" s="41"/>
    </row>
    <row r="117" spans="3:3" ht="14.25" customHeight="1">
      <c r="C117" s="41"/>
    </row>
    <row r="118" spans="3:3" ht="14.25" customHeight="1">
      <c r="C118" s="41"/>
    </row>
    <row r="119" spans="3:3" ht="14.25" customHeight="1">
      <c r="C119" s="41"/>
    </row>
    <row r="120" spans="3:3" ht="14.25" customHeight="1">
      <c r="C120" s="41"/>
    </row>
    <row r="121" spans="3:3" ht="14.25" customHeight="1">
      <c r="C121" s="41"/>
    </row>
    <row r="122" spans="3:3" ht="14.25" customHeight="1">
      <c r="C122" s="41"/>
    </row>
    <row r="123" spans="3:3" ht="14.25" customHeight="1">
      <c r="C123" s="41"/>
    </row>
    <row r="124" spans="3:3" ht="14.25" customHeight="1">
      <c r="C124" s="41"/>
    </row>
    <row r="125" spans="3:3" ht="14.25" customHeight="1">
      <c r="C125" s="41"/>
    </row>
    <row r="126" spans="3:3" ht="14.25" customHeight="1">
      <c r="C126" s="41"/>
    </row>
    <row r="127" spans="3:3" ht="14.25" customHeight="1">
      <c r="C127" s="41"/>
    </row>
    <row r="128" spans="3:3" ht="14.25" customHeight="1">
      <c r="C128" s="41"/>
    </row>
    <row r="129" spans="3:3" ht="14.25" customHeight="1">
      <c r="C129" s="41"/>
    </row>
    <row r="130" spans="3:3" ht="14.25" customHeight="1">
      <c r="C130" s="41"/>
    </row>
    <row r="131" spans="3:3" ht="14.25" customHeight="1">
      <c r="C131" s="41"/>
    </row>
    <row r="132" spans="3:3" ht="14.25" customHeight="1">
      <c r="C132" s="41"/>
    </row>
    <row r="133" spans="3:3" ht="14.25" customHeight="1">
      <c r="C133" s="41"/>
    </row>
    <row r="134" spans="3:3" ht="14.25" customHeight="1">
      <c r="C134" s="41"/>
    </row>
    <row r="135" spans="3:3" ht="14.25" customHeight="1">
      <c r="C135" s="41"/>
    </row>
    <row r="136" spans="3:3" ht="14.25" customHeight="1">
      <c r="C136" s="41"/>
    </row>
    <row r="137" spans="3:3" ht="14.25" customHeight="1">
      <c r="C137" s="41"/>
    </row>
    <row r="138" spans="3:3" ht="14.25" customHeight="1">
      <c r="C138" s="41"/>
    </row>
    <row r="139" spans="3:3" ht="14.25" customHeight="1">
      <c r="C139" s="41"/>
    </row>
    <row r="140" spans="3:3" ht="14.25" customHeight="1">
      <c r="C140" s="41"/>
    </row>
    <row r="141" spans="3:3" ht="14.25" customHeight="1">
      <c r="C141" s="41"/>
    </row>
    <row r="142" spans="3:3" ht="14.25" customHeight="1">
      <c r="C142" s="41"/>
    </row>
    <row r="143" spans="3:3" ht="14.25" customHeight="1">
      <c r="C143" s="41"/>
    </row>
    <row r="144" spans="3:3" ht="14.25" customHeight="1">
      <c r="C144" s="41"/>
    </row>
    <row r="145" spans="3:3" ht="14.25" customHeight="1">
      <c r="C145" s="41"/>
    </row>
    <row r="146" spans="3:3" ht="14.25" customHeight="1">
      <c r="C146" s="41"/>
    </row>
    <row r="147" spans="3:3" ht="14.25" customHeight="1">
      <c r="C147" s="41"/>
    </row>
    <row r="148" spans="3:3" ht="14.25" customHeight="1">
      <c r="C148" s="41"/>
    </row>
    <row r="149" spans="3:3" ht="14.25" customHeight="1">
      <c r="C149" s="41"/>
    </row>
    <row r="150" spans="3:3" ht="14.25" customHeight="1">
      <c r="C150" s="41"/>
    </row>
    <row r="151" spans="3:3" ht="14.25" customHeight="1">
      <c r="C151" s="41"/>
    </row>
    <row r="152" spans="3:3" ht="14.25" customHeight="1">
      <c r="C152" s="41"/>
    </row>
    <row r="153" spans="3:3" ht="14.25" customHeight="1">
      <c r="C153" s="41"/>
    </row>
    <row r="154" spans="3:3" ht="14.25" customHeight="1">
      <c r="C154" s="41"/>
    </row>
    <row r="155" spans="3:3" ht="14.25" customHeight="1">
      <c r="C155" s="41"/>
    </row>
    <row r="156" spans="3:3" ht="14.25" customHeight="1">
      <c r="C156" s="41"/>
    </row>
    <row r="157" spans="3:3" ht="14.25" customHeight="1">
      <c r="C157" s="41"/>
    </row>
    <row r="158" spans="3:3" ht="14.25" customHeight="1">
      <c r="C158" s="41"/>
    </row>
    <row r="159" spans="3:3" ht="14.25" customHeight="1">
      <c r="C159" s="41"/>
    </row>
    <row r="160" spans="3:3" ht="14.25" customHeight="1">
      <c r="C160" s="41"/>
    </row>
    <row r="161" spans="3:3" ht="14.25" customHeight="1">
      <c r="C161" s="41"/>
    </row>
    <row r="162" spans="3:3" ht="14.25" customHeight="1">
      <c r="C162" s="41"/>
    </row>
    <row r="163" spans="3:3" ht="14.25" customHeight="1">
      <c r="C163" s="41"/>
    </row>
    <row r="164" spans="3:3" ht="14.25" customHeight="1">
      <c r="C164" s="41"/>
    </row>
    <row r="165" spans="3:3" ht="14.25" customHeight="1">
      <c r="C165" s="41"/>
    </row>
    <row r="166" spans="3:3" ht="14.25" customHeight="1">
      <c r="C166" s="41"/>
    </row>
    <row r="167" spans="3:3" ht="14.25" customHeight="1">
      <c r="C167" s="41"/>
    </row>
    <row r="168" spans="3:3" ht="14.25" customHeight="1">
      <c r="C168" s="41"/>
    </row>
    <row r="169" spans="3:3" ht="14.25" customHeight="1">
      <c r="C169" s="41"/>
    </row>
    <row r="170" spans="3:3" ht="14.25" customHeight="1">
      <c r="C170" s="41"/>
    </row>
    <row r="171" spans="3:3" ht="14.25" customHeight="1">
      <c r="C171" s="41"/>
    </row>
    <row r="172" spans="3:3" ht="14.25" customHeight="1">
      <c r="C172" s="41"/>
    </row>
    <row r="173" spans="3:3" ht="14.25" customHeight="1">
      <c r="C173" s="41"/>
    </row>
    <row r="174" spans="3:3" ht="14.25" customHeight="1">
      <c r="C174" s="41"/>
    </row>
    <row r="175" spans="3:3" ht="14.25" customHeight="1">
      <c r="C175" s="41"/>
    </row>
    <row r="176" spans="3:3" ht="14.25" customHeight="1">
      <c r="C176" s="41"/>
    </row>
    <row r="177" spans="3:3" ht="14.25" customHeight="1">
      <c r="C177" s="41"/>
    </row>
    <row r="178" spans="3:3" ht="14.25" customHeight="1">
      <c r="C178" s="41"/>
    </row>
    <row r="179" spans="3:3" ht="14.25" customHeight="1">
      <c r="C179" s="41"/>
    </row>
    <row r="180" spans="3:3" ht="14.25" customHeight="1">
      <c r="C180" s="41"/>
    </row>
    <row r="181" spans="3:3" ht="14.25" customHeight="1">
      <c r="C181" s="41"/>
    </row>
    <row r="182" spans="3:3" ht="14.25" customHeight="1">
      <c r="C182" s="41"/>
    </row>
    <row r="183" spans="3:3" ht="14.25" customHeight="1">
      <c r="C183" s="41"/>
    </row>
    <row r="184" spans="3:3" ht="14.25" customHeight="1">
      <c r="C184" s="41"/>
    </row>
    <row r="185" spans="3:3" ht="14.25" customHeight="1">
      <c r="C185" s="41"/>
    </row>
    <row r="186" spans="3:3" ht="14.25" customHeight="1">
      <c r="C186" s="41"/>
    </row>
    <row r="187" spans="3:3" ht="14.25" customHeight="1">
      <c r="C187" s="41"/>
    </row>
    <row r="188" spans="3:3" ht="14.25" customHeight="1">
      <c r="C188" s="41"/>
    </row>
    <row r="189" spans="3:3" ht="14.25" customHeight="1">
      <c r="C189" s="41"/>
    </row>
    <row r="190" spans="3:3" ht="14.25" customHeight="1">
      <c r="C190" s="41"/>
    </row>
    <row r="191" spans="3:3" ht="14.25" customHeight="1">
      <c r="C191" s="41"/>
    </row>
    <row r="192" spans="3:3" ht="14.25" customHeight="1">
      <c r="C192" s="41"/>
    </row>
    <row r="193" spans="3:3" ht="14.25" customHeight="1">
      <c r="C193" s="41"/>
    </row>
    <row r="194" spans="3:3" ht="14.25" customHeight="1">
      <c r="C194" s="41"/>
    </row>
    <row r="195" spans="3:3" ht="14.25" customHeight="1">
      <c r="C195" s="41"/>
    </row>
    <row r="196" spans="3:3" ht="14.25" customHeight="1">
      <c r="C196" s="41"/>
    </row>
    <row r="197" spans="3:3" ht="14.25" customHeight="1">
      <c r="C197" s="41"/>
    </row>
    <row r="198" spans="3:3" ht="14.25" customHeight="1">
      <c r="C198" s="41"/>
    </row>
    <row r="199" spans="3:3" ht="14.25" customHeight="1">
      <c r="C199" s="41"/>
    </row>
    <row r="200" spans="3:3" ht="14.25" customHeight="1">
      <c r="C200" s="41"/>
    </row>
    <row r="201" spans="3:3" ht="14.25" customHeight="1">
      <c r="C201" s="41"/>
    </row>
    <row r="202" spans="3:3" ht="14.25" customHeight="1">
      <c r="C202" s="41"/>
    </row>
    <row r="203" spans="3:3" ht="14.25" customHeight="1">
      <c r="C203" s="41"/>
    </row>
    <row r="204" spans="3:3" ht="14.25" customHeight="1">
      <c r="C204" s="41"/>
    </row>
    <row r="205" spans="3:3" ht="14.25" customHeight="1">
      <c r="C205" s="41"/>
    </row>
    <row r="206" spans="3:3" ht="14.25" customHeight="1">
      <c r="C206" s="41"/>
    </row>
    <row r="207" spans="3:3" ht="14.25" customHeight="1">
      <c r="C207" s="41"/>
    </row>
    <row r="208" spans="3:3" ht="14.25" customHeight="1">
      <c r="C208" s="41"/>
    </row>
    <row r="209" spans="3:3" ht="14.25" customHeight="1">
      <c r="C209" s="41"/>
    </row>
    <row r="210" spans="3:3" ht="14.25" customHeight="1">
      <c r="C210" s="41"/>
    </row>
    <row r="211" spans="3:3" ht="14.25" customHeight="1">
      <c r="C211" s="41"/>
    </row>
    <row r="212" spans="3:3" ht="14.25" customHeight="1">
      <c r="C212" s="41"/>
    </row>
    <row r="213" spans="3:3" ht="14.25" customHeight="1">
      <c r="C213" s="41"/>
    </row>
    <row r="214" spans="3:3" ht="14.25" customHeight="1">
      <c r="C214" s="41"/>
    </row>
    <row r="215" spans="3:3" ht="14.25" customHeight="1">
      <c r="C215" s="41"/>
    </row>
    <row r="216" spans="3:3" ht="15.75" customHeight="1">
      <c r="C216" s="41"/>
    </row>
    <row r="217" spans="3:3" ht="15.75" customHeight="1">
      <c r="C217" s="41"/>
    </row>
    <row r="218" spans="3:3" ht="15.75" customHeight="1">
      <c r="C218" s="41"/>
    </row>
    <row r="219" spans="3:3" ht="15.75" customHeight="1">
      <c r="C219" s="41"/>
    </row>
    <row r="220" spans="3:3" ht="15.75" customHeight="1">
      <c r="C220" s="41"/>
    </row>
    <row r="221" spans="3:3" ht="15.75" customHeight="1">
      <c r="C221" s="41"/>
    </row>
    <row r="222" spans="3:3" ht="15.75" customHeight="1">
      <c r="C222" s="41"/>
    </row>
    <row r="223" spans="3:3" ht="15.75" customHeight="1">
      <c r="C223" s="41"/>
    </row>
    <row r="224" spans="3:3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8"/>
  <sheetViews>
    <sheetView showGridLines="0" tabSelected="1" zoomScale="85" zoomScaleNormal="85" workbookViewId="0">
      <selection activeCell="C19" sqref="C19"/>
    </sheetView>
  </sheetViews>
  <sheetFormatPr defaultColWidth="14.44140625" defaultRowHeight="15" customHeight="1"/>
  <cols>
    <col min="1" max="1" width="8.88671875" customWidth="1"/>
    <col min="2" max="2" width="28.5546875" customWidth="1"/>
    <col min="3" max="10" width="9.44140625" customWidth="1"/>
    <col min="11" max="11" width="8.109375" customWidth="1"/>
  </cols>
  <sheetData>
    <row r="1" spans="2:14" ht="14.25" customHeight="1">
      <c r="M1" s="82" t="s">
        <v>96</v>
      </c>
      <c r="N1" s="83"/>
    </row>
    <row r="2" spans="2:14" ht="14.25" customHeight="1" thickBot="1">
      <c r="B2" s="64" t="s">
        <v>110</v>
      </c>
      <c r="C2" s="64"/>
      <c r="D2" s="64"/>
      <c r="E2" s="64"/>
      <c r="F2" s="64"/>
      <c r="G2" s="64"/>
      <c r="H2" s="64"/>
      <c r="I2" s="64"/>
      <c r="J2" s="64"/>
      <c r="K2" s="64"/>
      <c r="M2" s="83"/>
      <c r="N2" s="83"/>
    </row>
    <row r="3" spans="2:14" ht="14.25" customHeight="1">
      <c r="B3" s="65" t="s">
        <v>98</v>
      </c>
      <c r="C3" s="66"/>
      <c r="D3" s="66">
        <v>43830</v>
      </c>
      <c r="E3" s="66">
        <v>44196</v>
      </c>
      <c r="F3" s="66">
        <v>44561</v>
      </c>
      <c r="G3" s="67">
        <v>44926</v>
      </c>
      <c r="H3" s="67">
        <v>45291</v>
      </c>
      <c r="I3" s="67">
        <v>45657</v>
      </c>
      <c r="J3" s="67">
        <v>46022</v>
      </c>
      <c r="K3" s="68">
        <v>46387</v>
      </c>
      <c r="M3" s="25" t="s">
        <v>159</v>
      </c>
    </row>
    <row r="4" spans="2:14" ht="14.25" customHeight="1">
      <c r="B4" s="69" t="s">
        <v>139</v>
      </c>
      <c r="C4" s="61"/>
      <c r="D4" s="61">
        <f>'Free Cash Flow'!C19</f>
        <v>3158</v>
      </c>
      <c r="E4" s="61">
        <f>'Free Cash Flow'!D19</f>
        <v>2859</v>
      </c>
      <c r="F4" s="61">
        <f>'Free Cash Flow'!E19</f>
        <v>4698</v>
      </c>
      <c r="G4" s="61">
        <f>'Free Cash Flow'!F19</f>
        <v>3889.4723768138269</v>
      </c>
      <c r="H4" s="61">
        <f>'Free Cash Flow'!G19</f>
        <v>5256.7944355881209</v>
      </c>
      <c r="I4" s="61">
        <f>'Free Cash Flow'!H19</f>
        <v>5673.3774265298489</v>
      </c>
      <c r="J4" s="61">
        <f>'Free Cash Flow'!I19</f>
        <v>5798.6939670633683</v>
      </c>
      <c r="K4" s="70">
        <f>'Free Cash Flow'!J19</f>
        <v>5704.3221445909903</v>
      </c>
      <c r="M4" s="25" t="s">
        <v>160</v>
      </c>
    </row>
    <row r="5" spans="2:14" ht="14.25" customHeight="1">
      <c r="B5" s="58"/>
      <c r="C5" s="56"/>
      <c r="D5" s="56"/>
      <c r="E5" s="56"/>
      <c r="F5" s="56"/>
      <c r="G5" s="56"/>
      <c r="H5" s="56"/>
      <c r="I5" s="56"/>
      <c r="J5" s="56"/>
      <c r="K5" s="59"/>
      <c r="M5" s="25" t="s">
        <v>161</v>
      </c>
    </row>
    <row r="6" spans="2:14" ht="14.25" customHeight="1">
      <c r="B6" s="69" t="s">
        <v>162</v>
      </c>
      <c r="C6" s="56"/>
      <c r="D6" s="56"/>
      <c r="E6" s="56"/>
      <c r="F6" s="56"/>
      <c r="G6" s="60">
        <v>1</v>
      </c>
      <c r="H6" s="60">
        <v>2</v>
      </c>
      <c r="I6" s="60">
        <v>3</v>
      </c>
      <c r="J6" s="60">
        <v>4</v>
      </c>
      <c r="K6" s="71">
        <v>5</v>
      </c>
      <c r="M6" s="25" t="s">
        <v>163</v>
      </c>
    </row>
    <row r="7" spans="2:14" ht="14.25" customHeight="1">
      <c r="B7" s="72" t="s">
        <v>164</v>
      </c>
      <c r="C7" s="62"/>
      <c r="D7" s="61"/>
      <c r="E7" s="61"/>
      <c r="F7" s="61"/>
      <c r="G7" s="63">
        <f>G4/(1+$C$12)^G6</f>
        <v>3660.8387133057954</v>
      </c>
      <c r="H7" s="63">
        <f t="shared" ref="H7:K7" si="0">H4/(1+$C$12)^H6</f>
        <v>4656.9417151525204</v>
      </c>
      <c r="I7" s="63">
        <f t="shared" si="0"/>
        <v>4730.5472898498583</v>
      </c>
      <c r="J7" s="63">
        <f t="shared" si="0"/>
        <v>4550.8215391030544</v>
      </c>
      <c r="K7" s="73">
        <f t="shared" si="0"/>
        <v>4213.602507298694</v>
      </c>
      <c r="M7" s="25" t="s">
        <v>165</v>
      </c>
    </row>
    <row r="8" spans="2:14" ht="14.25" customHeight="1" thickBot="1">
      <c r="B8" s="58"/>
      <c r="C8" s="56"/>
      <c r="D8" s="56"/>
      <c r="E8" s="56"/>
      <c r="F8" s="56"/>
      <c r="G8" s="56"/>
      <c r="H8" s="56"/>
      <c r="I8" s="56"/>
      <c r="J8" s="56"/>
      <c r="K8" s="59"/>
      <c r="M8" s="23" t="s">
        <v>166</v>
      </c>
    </row>
    <row r="9" spans="2:14" ht="14.25" customHeight="1">
      <c r="B9" s="86" t="s">
        <v>167</v>
      </c>
      <c r="C9" s="87"/>
      <c r="D9" s="56"/>
      <c r="E9" s="56"/>
      <c r="F9" s="56"/>
      <c r="G9" s="56"/>
      <c r="H9" s="56"/>
      <c r="I9" s="56"/>
      <c r="J9" s="56"/>
      <c r="K9" s="59"/>
      <c r="M9" s="25" t="s">
        <v>168</v>
      </c>
    </row>
    <row r="10" spans="2:14" ht="14.25" customHeight="1">
      <c r="B10" s="74" t="s">
        <v>169</v>
      </c>
      <c r="C10" s="70">
        <f>SUM(D7:K7)</f>
        <v>21812.751764709923</v>
      </c>
      <c r="D10" s="56"/>
      <c r="E10" s="56"/>
      <c r="F10" s="56"/>
      <c r="G10" s="56"/>
      <c r="H10" s="56"/>
      <c r="I10" s="56"/>
      <c r="J10" s="56"/>
      <c r="K10" s="59"/>
      <c r="M10" s="25" t="s">
        <v>170</v>
      </c>
    </row>
    <row r="11" spans="2:14" ht="14.25" customHeight="1">
      <c r="B11" s="74" t="s">
        <v>171</v>
      </c>
      <c r="C11" s="79">
        <v>0.03</v>
      </c>
      <c r="D11" s="56"/>
      <c r="E11" s="56"/>
      <c r="F11" s="56"/>
      <c r="G11" s="56"/>
      <c r="H11" s="56"/>
      <c r="I11" s="56"/>
      <c r="J11" s="56"/>
      <c r="K11" s="59"/>
      <c r="M11" s="25" t="s">
        <v>172</v>
      </c>
    </row>
    <row r="12" spans="2:14" ht="15" customHeight="1">
      <c r="B12" s="74" t="s">
        <v>158</v>
      </c>
      <c r="C12" s="80">
        <f>WACC!C13</f>
        <v>6.2453902346758176E-2</v>
      </c>
      <c r="D12" s="56"/>
      <c r="E12" s="56"/>
      <c r="F12" s="56"/>
      <c r="G12" s="56"/>
      <c r="H12" s="56"/>
      <c r="I12" s="56"/>
      <c r="J12" s="56"/>
      <c r="K12" s="59"/>
      <c r="M12" s="25" t="s">
        <v>173</v>
      </c>
    </row>
    <row r="13" spans="2:14" ht="14.25" customHeight="1">
      <c r="B13" s="74" t="s">
        <v>174</v>
      </c>
      <c r="C13" s="70">
        <f>K4*(1+C11)/(C12-C11)</f>
        <v>181039.91767004313</v>
      </c>
      <c r="D13" s="56"/>
      <c r="E13" s="56"/>
      <c r="F13" s="56"/>
      <c r="G13" s="56"/>
      <c r="H13" s="56"/>
      <c r="I13" s="56"/>
      <c r="J13" s="56"/>
      <c r="K13" s="59"/>
    </row>
    <row r="14" spans="2:14" ht="14.25" customHeight="1">
      <c r="B14" s="74" t="s">
        <v>175</v>
      </c>
      <c r="C14" s="70">
        <f>C13/(1+C12)^5</f>
        <v>133728.46618401128</v>
      </c>
      <c r="D14" s="61"/>
      <c r="E14" s="56"/>
      <c r="F14" s="56"/>
      <c r="G14" s="56"/>
      <c r="H14" s="56"/>
      <c r="I14" s="56"/>
      <c r="J14" s="56"/>
      <c r="K14" s="59"/>
    </row>
    <row r="15" spans="2:14" ht="14.25" customHeight="1">
      <c r="B15" s="74" t="s">
        <v>176</v>
      </c>
      <c r="C15" s="70">
        <f>C14+C10</f>
        <v>155541.2179487212</v>
      </c>
      <c r="D15" s="56"/>
      <c r="E15" s="56"/>
      <c r="F15" s="56"/>
      <c r="G15" s="56"/>
      <c r="H15" s="56"/>
      <c r="I15" s="56"/>
      <c r="J15" s="56"/>
      <c r="K15" s="59"/>
    </row>
    <row r="16" spans="2:14" ht="14.25" customHeight="1">
      <c r="B16" s="75" t="s">
        <v>177</v>
      </c>
      <c r="C16" s="70">
        <f>'Balance Sheet'!F4</f>
        <v>11258</v>
      </c>
      <c r="D16" s="56"/>
      <c r="E16" s="56"/>
      <c r="F16" s="56"/>
      <c r="G16" s="56"/>
      <c r="H16" s="56"/>
      <c r="I16" s="56"/>
      <c r="J16" s="56"/>
      <c r="K16" s="59"/>
    </row>
    <row r="17" spans="1:26" ht="14.25" customHeight="1">
      <c r="B17" s="75" t="s">
        <v>178</v>
      </c>
      <c r="C17" s="70">
        <f>WACC!C4</f>
        <v>7491</v>
      </c>
      <c r="D17" s="56"/>
      <c r="E17" s="56"/>
      <c r="F17" s="56"/>
      <c r="G17" s="56"/>
      <c r="H17" s="56"/>
      <c r="I17" s="56"/>
      <c r="J17" s="56"/>
      <c r="K17" s="59"/>
    </row>
    <row r="18" spans="1:26" ht="14.25" customHeight="1">
      <c r="B18" s="75" t="s">
        <v>179</v>
      </c>
      <c r="C18" s="70">
        <f>'Balance Sheet'!F35</f>
        <v>514</v>
      </c>
      <c r="D18" s="56"/>
      <c r="E18" s="56"/>
      <c r="F18" s="56"/>
      <c r="G18" s="56"/>
      <c r="H18" s="56"/>
      <c r="I18" s="56"/>
      <c r="J18" s="56"/>
      <c r="K18" s="59"/>
    </row>
    <row r="19" spans="1:26" ht="14.25" customHeight="1" thickBot="1">
      <c r="A19" s="53"/>
      <c r="B19" s="76" t="s">
        <v>180</v>
      </c>
      <c r="C19" s="81">
        <f>C15+C16-C17-C18</f>
        <v>158794.2179487212</v>
      </c>
      <c r="D19" s="77"/>
      <c r="E19" s="77"/>
      <c r="F19" s="77"/>
      <c r="G19" s="77"/>
      <c r="H19" s="77"/>
      <c r="I19" s="77"/>
      <c r="J19" s="77"/>
      <c r="K19" s="78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Puru Gandhi</cp:lastModifiedBy>
  <dcterms:modified xsi:type="dcterms:W3CDTF">2024-01-23T08:48:36Z</dcterms:modified>
</cp:coreProperties>
</file>