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sanwalka_wisc_edu/Documents/WHAM/"/>
    </mc:Choice>
  </mc:AlternateContent>
  <xr:revisionPtr revIDLastSave="137" documentId="8_{C9E569C6-D225-2449-81CE-F63B9459901A}" xr6:coauthVersionLast="47" xr6:coauthVersionMax="47" xr10:uidLastSave="{66E8A7CB-4A44-47A2-A6DD-10609C7DEA7D}"/>
  <bookViews>
    <workbookView xWindow="-93" yWindow="-93" windowWidth="25786" windowHeight="13986" xr2:uid="{FD75F1BD-3419-8A42-869C-4E4296CA182A}"/>
  </bookViews>
  <sheets>
    <sheet name="Sheet1" sheetId="1" r:id="rId1"/>
  </sheets>
  <definedNames>
    <definedName name="a">Sheet1!#REF!</definedName>
    <definedName name="a_c">Sheet1!#REF!</definedName>
    <definedName name="a_m">Sheet1!#REF!</definedName>
    <definedName name="a_p">Sheet1!#REF!</definedName>
    <definedName name="B">Sheet1!#REF!</definedName>
    <definedName name="B_c">Sheet1!#REF!</definedName>
    <definedName name="B_M">Sheet1!#REF!</definedName>
    <definedName name="B_p">Sheet1!#REF!</definedName>
    <definedName name="beta">Sheet1!$D$9</definedName>
    <definedName name="beta_p">Sheet1!#REF!</definedName>
    <definedName name="BM">Sheet1!$D$5</definedName>
    <definedName name="Bp">Sheet1!$D$4</definedName>
    <definedName name="E_nbi">Sheet1!$D$75</definedName>
    <definedName name="Einj">Sheet1!$D$10</definedName>
    <definedName name="Eion">Sheet1!$D$24</definedName>
    <definedName name="gamma_lorentz">Sheet1!$D$45</definedName>
    <definedName name="I_cool">Sheet1!$D$81</definedName>
    <definedName name="I_nbi">Sheet1!$D$74</definedName>
    <definedName name="Iinj">Sheet1!#REF!</definedName>
    <definedName name="L">Sheet1!#REF!</definedName>
    <definedName name="lambda_ee">Sheet1!$D$63</definedName>
    <definedName name="lambda_ei">Sheet1!$D$62</definedName>
    <definedName name="lambda_ii">Sheet1!$D$61</definedName>
    <definedName name="lembda_ei">Sheet1!$D$62</definedName>
    <definedName name="Length">Sheet1!#REF!</definedName>
    <definedName name="mu">Sheet1!$D$22</definedName>
    <definedName name="n_20">Sheet1!$D$30</definedName>
    <definedName name="n20_">Sheet1!#REF!</definedName>
    <definedName name="n20_beta">Sheet1!#REF!</definedName>
    <definedName name="n20_c">Sheet1!#REF!</definedName>
    <definedName name="ngyro">Sheet1!#REF!</definedName>
    <definedName name="nplug">Sheet1!#REF!</definedName>
    <definedName name="Ntot">Sheet1!#REF!</definedName>
    <definedName name="P_loss_per_L">Sheet1!#REF!</definedName>
    <definedName name="Pe_endloss">Sheet1!$D$86</definedName>
    <definedName name="Pech">Sheet1!#REF!</definedName>
    <definedName name="Pfusion_per_L">Sheet1!#REF!</definedName>
    <definedName name="Phhfw">Sheet1!#REF!</definedName>
    <definedName name="Pi2e">Sheet1!#REF!</definedName>
    <definedName name="Pnbi">Sheet1!#REF!</definedName>
    <definedName name="_xlnm.Print_Area" localSheetId="0">Sheet1!$A$2:$F$100</definedName>
    <definedName name="Psynch">Sheet1!$D$84</definedName>
    <definedName name="Ptot_Tandem_Plugs">Sheet1!#REF!</definedName>
    <definedName name="rhoi">Sheet1!#REF!</definedName>
    <definedName name="Rmirror">Sheet1!$D$14</definedName>
    <definedName name="sigma_v_dd">Sheet1!$D$78</definedName>
    <definedName name="sigma_v_dt">Sheet1!$D$77</definedName>
    <definedName name="tau_ee">Sheet1!$D$65</definedName>
    <definedName name="tau_ii">Sheet1!$D$66</definedName>
    <definedName name="tau_s">Sheet1!$D$67</definedName>
    <definedName name="Tauii">Sheet1!#REF!</definedName>
    <definedName name="tauii_conf">Sheet1!#REF!</definedName>
    <definedName name="taus">Sheet1!#REF!</definedName>
    <definedName name="Te">Sheet1!$D$26</definedName>
    <definedName name="Tec">Sheet1!#REF!</definedName>
    <definedName name="Tic">Sheet1!$D$159</definedName>
    <definedName name="Tikev">Sheet1!#REF!</definedName>
    <definedName name="TkeV">Sheet1!#REF!</definedName>
    <definedName name="volume">Sheet1!$D$19</definedName>
    <definedName name="Wloss">Sheet1!#REF!</definedName>
    <definedName name="Zeff">Sheet1!$D$12</definedName>
  </definedName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7" i="1" l="1"/>
  <c r="D95" i="1"/>
  <c r="D97" i="1"/>
  <c r="D172" i="1" a="1"/>
  <c r="D172" i="1"/>
  <c r="D173" i="1"/>
  <c r="D176" i="1"/>
  <c r="D177" i="1"/>
  <c r="D185" i="1"/>
  <c r="D186" i="1"/>
  <c r="D29" i="1"/>
  <c r="D16" i="1"/>
  <c r="D19" i="1"/>
  <c r="D14" i="1"/>
  <c r="D25" i="1"/>
  <c r="D26" i="1"/>
  <c r="D30" i="1"/>
  <c r="D159" i="1"/>
  <c r="D158" i="1"/>
  <c r="D45" i="1"/>
  <c r="D84" i="1" a="1"/>
  <c r="D84" i="1"/>
  <c r="D60" i="1"/>
  <c r="D70" i="1"/>
  <c r="D72" i="1"/>
  <c r="D74" i="1"/>
  <c r="D86" i="1"/>
  <c r="D62" i="1"/>
  <c r="D67" i="1"/>
  <c r="D83" i="1"/>
  <c r="D91" i="1"/>
  <c r="D89" i="1"/>
  <c r="D88" i="1"/>
  <c r="D92" i="1"/>
  <c r="D150" i="1"/>
  <c r="D202" i="1"/>
  <c r="D160" i="1"/>
  <c r="D161" i="1"/>
  <c r="D163" i="1"/>
  <c r="D162" i="1"/>
  <c r="D168" i="1"/>
  <c r="D171" i="1"/>
  <c r="D190" i="1"/>
  <c r="D90" i="1"/>
  <c r="D204" i="1"/>
  <c r="D196" i="1"/>
  <c r="D209" i="1"/>
  <c r="D197" i="1"/>
  <c r="D210" i="1"/>
  <c r="D198" i="1"/>
  <c r="D211" i="1"/>
  <c r="D212" i="1"/>
  <c r="D214" i="1"/>
  <c r="D188" i="1"/>
  <c r="D206" i="1"/>
  <c r="D216" i="1"/>
  <c r="I50" i="1"/>
  <c r="D24" i="1"/>
  <c r="D101" i="1"/>
  <c r="D33" i="1"/>
  <c r="D37" i="1"/>
  <c r="D31" i="1"/>
  <c r="D43" i="1"/>
  <c r="D75" i="1"/>
  <c r="D148" i="1"/>
  <c r="D149" i="1"/>
  <c r="I174" i="1"/>
  <c r="D34" i="1"/>
  <c r="D35" i="1"/>
  <c r="D94" i="1"/>
  <c r="D165" i="1"/>
  <c r="D166" i="1"/>
  <c r="D64" i="1"/>
  <c r="D32" i="1"/>
  <c r="D80" i="1"/>
  <c r="D223" i="1"/>
  <c r="D225" i="1"/>
  <c r="D226" i="1"/>
  <c r="D227" i="1"/>
  <c r="D228" i="1"/>
  <c r="D143" i="1"/>
  <c r="D129" i="1"/>
  <c r="D130" i="1"/>
  <c r="D131" i="1"/>
  <c r="D133" i="1"/>
  <c r="D122" i="1"/>
  <c r="D123" i="1"/>
  <c r="D124" i="1"/>
  <c r="D126" i="1"/>
  <c r="D136" i="1"/>
  <c r="D137" i="1"/>
  <c r="D138" i="1"/>
  <c r="D140" i="1"/>
  <c r="D142" i="1"/>
  <c r="I62" i="1"/>
  <c r="O30" i="1"/>
  <c r="O29" i="1"/>
  <c r="O28" i="1"/>
  <c r="O27" i="1"/>
  <c r="O26" i="1"/>
  <c r="O25" i="1"/>
  <c r="O24" i="1"/>
  <c r="O23" i="1"/>
  <c r="O22" i="1"/>
  <c r="O21" i="1"/>
  <c r="P30" i="1"/>
  <c r="P29" i="1"/>
  <c r="P28" i="1"/>
  <c r="P27" i="1"/>
  <c r="P26" i="1"/>
  <c r="P25" i="1"/>
  <c r="P24" i="1"/>
  <c r="P23" i="1"/>
  <c r="P22" i="1"/>
  <c r="P21" i="1"/>
  <c r="D99" i="1"/>
  <c r="D114" i="1"/>
  <c r="D100" i="1"/>
  <c r="D111" i="1"/>
  <c r="D110" i="1"/>
  <c r="D116" i="1"/>
  <c r="I95" i="1"/>
  <c r="D41" i="1"/>
  <c r="D39" i="1"/>
  <c r="D44" i="1"/>
  <c r="D78" i="1"/>
  <c r="D68" i="1"/>
  <c r="D103" i="1"/>
  <c r="D104" i="1"/>
  <c r="L41" i="1"/>
  <c r="P54" i="1"/>
  <c r="R49" i="1"/>
  <c r="L75" i="1"/>
  <c r="L65" i="1"/>
  <c r="L70" i="1"/>
  <c r="M65" i="1"/>
  <c r="J66" i="1"/>
  <c r="Q66" i="1"/>
  <c r="R67" i="1"/>
  <c r="T75" i="1"/>
  <c r="Q38" i="1"/>
  <c r="D40" i="1"/>
  <c r="D53" i="1"/>
  <c r="D49" i="1"/>
  <c r="D38" i="1"/>
  <c r="D36" i="1"/>
  <c r="D98" i="1"/>
  <c r="D50" i="1"/>
  <c r="D54" i="1"/>
  <c r="D48" i="1"/>
  <c r="D52" i="1"/>
  <c r="D85" i="1"/>
  <c r="D63" i="1"/>
  <c r="D65" i="1" a="1"/>
  <c r="D65" i="1"/>
  <c r="D61" i="1"/>
  <c r="D42" i="1"/>
  <c r="D56" i="1"/>
  <c r="D66" i="1"/>
  <c r="D96" i="1"/>
  <c r="D69" i="1"/>
  <c r="D222" i="1"/>
  <c r="D170" i="1"/>
  <c r="D233" i="1"/>
  <c r="D235" i="1"/>
  <c r="D234" i="1"/>
  <c r="D192" i="1"/>
  <c r="D199" i="1"/>
  <c r="D179" i="1"/>
  <c r="D230" i="1"/>
  <c r="D191" i="1"/>
  <c r="D193" i="1"/>
  <c r="D2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<sst xmlns="http://schemas.openxmlformats.org/spreadsheetml/2006/main" count="274" uniqueCount="218">
  <si>
    <t>ngyro</t>
  </si>
  <si>
    <t xml:space="preserve"> </t>
  </si>
  <si>
    <t>sigmav DT</t>
  </si>
  <si>
    <t>Q</t>
  </si>
  <si>
    <t>DCLC ratio</t>
  </si>
  <si>
    <t>area (m^2)</t>
  </si>
  <si>
    <t>neutron flux (MW/m^2)</t>
  </si>
  <si>
    <t>P nbi (MW)</t>
  </si>
  <si>
    <t>P hhfw (MW)</t>
  </si>
  <si>
    <t>Pech (MW)</t>
  </si>
  <si>
    <t>P total (MW)</t>
  </si>
  <si>
    <t>f_pi (MHz)</t>
  </si>
  <si>
    <t xml:space="preserve">mu </t>
  </si>
  <si>
    <t>fech (GHz)</t>
  </si>
  <si>
    <t xml:space="preserve">Choose: </t>
  </si>
  <si>
    <t>Choose:</t>
  </si>
  <si>
    <t>B mirror (T)</t>
  </si>
  <si>
    <t>B end wall (T)</t>
  </si>
  <si>
    <t>f 4th Harmonic at turn</t>
  </si>
  <si>
    <t>f 3rd Harmonic at turn</t>
  </si>
  <si>
    <t>f 2nd Harmonic at turn</t>
  </si>
  <si>
    <t>Pfusion DT (MW)</t>
  </si>
  <si>
    <t>DD fusion (#/time)</t>
  </si>
  <si>
    <t>DT fusion (#/time)</t>
  </si>
  <si>
    <t>n (central cell)</t>
  </si>
  <si>
    <t>nc/np</t>
  </si>
  <si>
    <t>Tic/Tep</t>
  </si>
  <si>
    <t>Tic (keV)</t>
  </si>
  <si>
    <t xml:space="preserve">B central cell (T) </t>
  </si>
  <si>
    <t xml:space="preserve">a central cell (m) </t>
  </si>
  <si>
    <t>Tec (keV)</t>
  </si>
  <si>
    <t>Pastukhov</t>
  </si>
  <si>
    <t>P loss  MW/m</t>
  </si>
  <si>
    <t>P fusion MW/m</t>
  </si>
  <si>
    <t>L breakeven</t>
  </si>
  <si>
    <t>fusion rate  #/m</t>
  </si>
  <si>
    <t>tau slow (sec)</t>
  </si>
  <si>
    <t>Tau ii (sec)</t>
  </si>
  <si>
    <t>tau ee (sec)</t>
  </si>
  <si>
    <t xml:space="preserve">tau ions  (sec) </t>
  </si>
  <si>
    <t>I cool (amp)</t>
  </si>
  <si>
    <t>Volume (m^3)</t>
  </si>
  <si>
    <t xml:space="preserve">dN plug/dt (#/sec) </t>
  </si>
  <si>
    <t>n20  at beta limit</t>
  </si>
  <si>
    <t xml:space="preserve">zeff </t>
  </si>
  <si>
    <t>rhoi (m)</t>
  </si>
  <si>
    <t>Length</t>
  </si>
  <si>
    <t>omega_pi^/omega_ci^2</t>
  </si>
  <si>
    <t>From Fowler</t>
  </si>
  <si>
    <t>(Baldwin 1977)</t>
  </si>
  <si>
    <t>keep ~1000</t>
  </si>
  <si>
    <t>sigma DD</t>
  </si>
  <si>
    <t>x 1/4 n20^2</t>
  </si>
  <si>
    <t>* n20^2</t>
  </si>
  <si>
    <t>mirror coil bore (m)</t>
  </si>
  <si>
    <t>as low as possible; DCLC</t>
  </si>
  <si>
    <t>N tot (10^20)</t>
  </si>
  <si>
    <t>P fusion total  (MW)</t>
  </si>
  <si>
    <t>Deuterium</t>
  </si>
  <si>
    <t>Tritium</t>
  </si>
  <si>
    <t>f_ci (MHz) D</t>
  </si>
  <si>
    <t>f_ci (MHz) T</t>
  </si>
  <si>
    <t>Use Divertor reduce-&gt;</t>
  </si>
  <si>
    <t>f_pe (GHz)</t>
  </si>
  <si>
    <t>whistler wavelength</t>
  </si>
  <si>
    <t>beta central cell</t>
  </si>
  <si>
    <t>gamma_lorentz</t>
  </si>
  <si>
    <t>beta limit</t>
  </si>
  <si>
    <t>E nbi (kV)</t>
  </si>
  <si>
    <t>I nbi (amp)</t>
  </si>
  <si>
    <t>Ti (kev)</t>
  </si>
  <si>
    <t>&lt;sigma v&gt; DT</t>
  </si>
  <si>
    <t>&lt;sigm v&gt; DD</t>
  </si>
  <si>
    <t>Psynch (MW)</t>
  </si>
  <si>
    <t>Pbrem (MW)</t>
  </si>
  <si>
    <t>electron heating by fast ions (MW)</t>
  </si>
  <si>
    <t>sigma D He3</t>
  </si>
  <si>
    <t>Pe_endloss</t>
  </si>
  <si>
    <t>choose:</t>
  </si>
  <si>
    <t>Lambda ee</t>
  </si>
  <si>
    <t>Lambda ei</t>
  </si>
  <si>
    <t>Lambda ii</t>
  </si>
  <si>
    <t>Pi_endloss</t>
  </si>
  <si>
    <t>sigma_dt(Ti)</t>
  </si>
  <si>
    <t>At high field Psynch dominates</t>
  </si>
  <si>
    <t>energy to be recovered</t>
  </si>
  <si>
    <t>Direct Convertor Efficiency</t>
  </si>
  <si>
    <t>Ploss Central Cell</t>
  </si>
  <si>
    <t>P alpha (electron heating)</t>
  </si>
  <si>
    <t>Power into CC from end plug</t>
  </si>
  <si>
    <t>fueling current for central cell</t>
  </si>
  <si>
    <t>MW</t>
  </si>
  <si>
    <t>Input:</t>
  </si>
  <si>
    <t>n_plug</t>
  </si>
  <si>
    <t>Tec/Tep</t>
  </si>
  <si>
    <t>neutron wall load (MW/m^2)</t>
  </si>
  <si>
    <t>Rmirror (end plug)</t>
  </si>
  <si>
    <t>End Plug Heating Power</t>
  </si>
  <si>
    <t>This sets Pastukhov</t>
  </si>
  <si>
    <t>Can be recovered directly</t>
  </si>
  <si>
    <t>ECH</t>
  </si>
  <si>
    <t>NBI</t>
  </si>
  <si>
    <t>RF</t>
  </si>
  <si>
    <t>Fusion Power</t>
  </si>
  <si>
    <t>Installed Heating Power</t>
  </si>
  <si>
    <t>Recovered (Recirculating) Power</t>
  </si>
  <si>
    <t>Total</t>
  </si>
  <si>
    <t>Thermal Power</t>
  </si>
  <si>
    <t>Electrical In</t>
  </si>
  <si>
    <t>ECH (efficiency = 0.6)</t>
  </si>
  <si>
    <t>NBI (efficiency = 0.6)</t>
  </si>
  <si>
    <t>RF (efficiency = 0.9)</t>
  </si>
  <si>
    <t>Thermal Electric (efficiency = 0.5)</t>
  </si>
  <si>
    <t>Electric direct</t>
  </si>
  <si>
    <t>BEAT: Break Even Axisymmetric Tandem</t>
  </si>
  <si>
    <t xml:space="preserve">HAMMiR:  High-field Axisymmetric Magnetic Mirror Reactor </t>
  </si>
  <si>
    <t>Simple Mirror Endplug</t>
  </si>
  <si>
    <t>Vacuum vessel wall (a_plasma + 0.1 m)</t>
  </si>
  <si>
    <t xml:space="preserve">Input: </t>
  </si>
  <si>
    <t>Blanket thickness</t>
  </si>
  <si>
    <t>warm bore of magnets</t>
  </si>
  <si>
    <t>volume of blanket</t>
  </si>
  <si>
    <t>m^-3</t>
  </si>
  <si>
    <t>Central Cell Blanket</t>
  </si>
  <si>
    <t>Net Electric (if thermal is converted to electric)</t>
  </si>
  <si>
    <t xml:space="preserve">Cost:  </t>
  </si>
  <si>
    <t>ECH @ $10/watt</t>
  </si>
  <si>
    <t>RF @ $1/watt</t>
  </si>
  <si>
    <t>NBI @ $5/watt</t>
  </si>
  <si>
    <t>End Plug Magnets</t>
  </si>
  <si>
    <t>Central Cell Magnets</t>
  </si>
  <si>
    <t>Blanket</t>
  </si>
  <si>
    <t>Process Heat Power</t>
  </si>
  <si>
    <t>tau (Fowler/Baldwin)</t>
  </si>
  <si>
    <t>This number will give pessimistic estimates</t>
  </si>
  <si>
    <t>Process Heat Mode excess Electric power</t>
  </si>
  <si>
    <t>E_alpha</t>
  </si>
  <si>
    <t>tau alpha</t>
  </si>
  <si>
    <t>n_alpha</t>
  </si>
  <si>
    <t xml:space="preserve">Zeff </t>
  </si>
  <si>
    <t>Heating system efficiency</t>
  </si>
  <si>
    <t>T_ion  (keV)</t>
  </si>
  <si>
    <t>For the Fowler NBI number, there is no electron heating needed if Te is correct.</t>
  </si>
  <si>
    <t>P_electric  (out)</t>
  </si>
  <si>
    <t xml:space="preserve">P_electric    (in) </t>
  </si>
  <si>
    <t>Thermal to electric conversion efficiency</t>
  </si>
  <si>
    <t>Q* = ( P_fus/(Ptot/eta_heat - Precovered)</t>
  </si>
  <si>
    <t>This is overall thermal Q</t>
  </si>
  <si>
    <t xml:space="preserve">Q_electric (neutron thermal to electric) </t>
  </si>
  <si>
    <t>Q = Pfusion/Pinj</t>
  </si>
  <si>
    <t>sigma v sqrt(E)</t>
  </si>
  <si>
    <t>Eb</t>
  </si>
  <si>
    <t xml:space="preserve">Te (keV) </t>
  </si>
  <si>
    <t>Te = 0.09*log(Rm/sqrt(1-beta))^0.4* Eb with pure beam heating</t>
  </si>
  <si>
    <t>kamp-turns of mirror coils</t>
  </si>
  <si>
    <t>kA-m of superconductor</t>
  </si>
  <si>
    <t>cost/kA-m</t>
  </si>
  <si>
    <t>M$</t>
  </si>
  <si>
    <t>M$/kA-m</t>
  </si>
  <si>
    <t>Cost of Magnet Wire</t>
  </si>
  <si>
    <t>Radius of mirror coil</t>
  </si>
  <si>
    <t>cost of mirror coil pair</t>
  </si>
  <si>
    <t>Mirror Coils</t>
  </si>
  <si>
    <t>Radius</t>
  </si>
  <si>
    <t>blanket thickness</t>
  </si>
  <si>
    <t>m</t>
  </si>
  <si>
    <t>Midplane Coil (single coil or HH)</t>
  </si>
  <si>
    <t>cost of midplane coil</t>
  </si>
  <si>
    <t>Divertor coils</t>
  </si>
  <si>
    <t>total cost of Rebco Tape</t>
  </si>
  <si>
    <t>total cost of heating systems</t>
  </si>
  <si>
    <t>Radius of divertor coil</t>
  </si>
  <si>
    <t>NOTE:  Tandems require much higher energy ions in end plugs than breakeven mirrors</t>
  </si>
  <si>
    <t>Keep things simple; assume ep electrons, cc eletrons and cc ions are in equilibrium/nother funky</t>
  </si>
  <si>
    <t>just set to make up difference between Einj and Enbi (D64)</t>
  </si>
  <si>
    <t>Auxiliary Heating needed for central cell</t>
  </si>
  <si>
    <t>Design points</t>
  </si>
  <si>
    <t>kA-m  / meter</t>
  </si>
  <si>
    <t>$M/m of magnet</t>
  </si>
  <si>
    <t>cost/m of central cell magnet</t>
  </si>
  <si>
    <t>This is the installed heating power to be made up (not using direct conversion for now)</t>
  </si>
  <si>
    <t>t T tau (10^20 m^-3 keV sec)</t>
  </si>
  <si>
    <t>Can't this be used to stabilize DCLC??? And provide electrical connection to end walls in exander?</t>
  </si>
  <si>
    <t xml:space="preserve">$M </t>
  </si>
  <si>
    <t>total cost of central cell Rebco (perhaps less with MgB2 or other).</t>
  </si>
  <si>
    <t>sec</t>
  </si>
  <si>
    <t>WHAM 1.0</t>
  </si>
  <si>
    <t>Length (could be 2 x a)</t>
  </si>
  <si>
    <t>nTtau</t>
  </si>
  <si>
    <t xml:space="preserve">    x10^20 m^-3 keV sec</t>
  </si>
  <si>
    <t>Hammir</t>
  </si>
  <si>
    <t>2.8 e10 * log(Rm) *E_b^3/2  / n  : technically valid for NBI injection at E_nbi and includes a self-consistent electron part.</t>
  </si>
  <si>
    <t>tau ei</t>
  </si>
  <si>
    <t>rho_e(m)</t>
  </si>
  <si>
    <t>tau_classical (a^2 \tau_ei / rho_e^2</t>
  </si>
  <si>
    <t>chi_etg</t>
  </si>
  <si>
    <t xml:space="preserve">tau_etg </t>
  </si>
  <si>
    <t xml:space="preserve">still need critical gradient </t>
  </si>
  <si>
    <t>B0 (T)</t>
  </si>
  <si>
    <t>a wall / a</t>
  </si>
  <si>
    <t>a</t>
  </si>
  <si>
    <t>&lt;Ei&gt; or Eb (keV)</t>
  </si>
  <si>
    <t>skootch down if electrons are heating central cell</t>
  </si>
  <si>
    <t>vti</t>
  </si>
  <si>
    <t>interchange growth rate</t>
  </si>
  <si>
    <t>Hz</t>
  </si>
  <si>
    <t>tau ii cc</t>
  </si>
  <si>
    <t>R_cc</t>
  </si>
  <si>
    <t>m (FLR)</t>
  </si>
  <si>
    <t>delta_i (ion skin depth)</t>
  </si>
  <si>
    <t xml:space="preserve">ion skin depts </t>
  </si>
  <si>
    <t>BAM</t>
  </si>
  <si>
    <t>Burnup Fraction</t>
  </si>
  <si>
    <t>A</t>
  </si>
  <si>
    <t>P fusion CC total</t>
  </si>
  <si>
    <t>s</t>
  </si>
  <si>
    <t>tau E</t>
  </si>
  <si>
    <t>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</si>
</sst>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E+0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20202"/>
      <name val="Inherit"/>
    </font>
    <font>
      <u/>
      <sz val="14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right" indent="1"/>
    </xf>
    <xf numFmtId="0" fontId="2" fillId="0" borderId="0" xfId="0" applyFont="1" applyAlignment="1">
      <alignment horizontal="right" indent="1"/>
    </xf>
    <xf numFmtId="0" fontId="0" fillId="0" borderId="0" xfId="0" applyFont="1" applyAlignment="1">
      <alignment horizontal="right" inden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3" fillId="0" borderId="0" xfId="0" applyNumberFormat="1" applyFont="1"/>
    <xf numFmtId="0" fontId="4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11" fontId="0" fillId="0" borderId="0" xfId="0" applyNumberFormat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5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right" indent="1"/>
    </xf>
    <xf numFmtId="0" fontId="0" fillId="0" borderId="0" xfId="0" applyBorder="1" applyAlignment="1">
      <alignment wrapText="1"/>
    </xf>
    <xf numFmtId="11" fontId="0" fillId="0" borderId="0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64DC-0609-414F-AD6B-0794283356C6}">
  <dimension ref="A1:T241"/>
  <sheetViews>
    <sheetView tabSelected="1" topLeftCell="A178" zoomScale="101" zoomScaleNormal="127" workbookViewId="0">
      <selection activeCell="D187" sqref="D187"/>
    </sheetView>
  </sheetViews>
  <sheetFormatPr defaultColWidth="10.83203125" defaultRowHeight="15.7"/>
  <cols>
    <col min="1" max="1" width="22" customWidth="1"/>
    <col min="2" max="2" width="54" customWidth="1"/>
    <col min="3" max="3" width="20.33203125" bestFit="1" customWidth="1"/>
    <col min="4" max="4" width="21" customWidth="1"/>
    <col min="5" max="5" width="14" customWidth="1"/>
    <col min="6" max="6" width="10.33203125" customWidth="1"/>
    <col min="7" max="7" width="11.5" customWidth="1"/>
    <col min="8" max="8" width="9.5" customWidth="1"/>
    <col min="9" max="9" width="52" style="24" customWidth="1"/>
    <col min="10" max="10" width="24.83203125" customWidth="1"/>
    <col min="11" max="11" width="11.33203125" customWidth="1"/>
    <col min="12" max="12" width="13.1640625" customWidth="1"/>
    <col min="16" max="16" width="11.1640625" bestFit="1" customWidth="1"/>
  </cols>
  <sheetData>
    <row r="1" spans="1:8">
      <c r="G1" t="s">
        <v>176</v>
      </c>
    </row>
    <row r="2" spans="1:8" ht="18">
      <c r="B2" s="22" t="s">
        <v>116</v>
      </c>
      <c r="F2" s="14" t="s">
        <v>186</v>
      </c>
      <c r="G2" s="14" t="s">
        <v>211</v>
      </c>
      <c r="H2" s="14" t="s">
        <v>190</v>
      </c>
    </row>
    <row r="4" spans="1:8">
      <c r="A4" t="s">
        <v>14</v>
      </c>
      <c r="B4" t="s">
        <v>198</v>
      </c>
      <c r="D4" s="1">
        <v>6</v>
      </c>
      <c r="E4" s="1"/>
      <c r="F4" s="1">
        <v>0.86</v>
      </c>
      <c r="G4" s="1">
        <v>2</v>
      </c>
      <c r="H4" s="1">
        <v>6</v>
      </c>
    </row>
    <row r="5" spans="1:8">
      <c r="A5" t="s">
        <v>14</v>
      </c>
      <c r="B5" t="s">
        <v>16</v>
      </c>
      <c r="D5" s="1">
        <v>30</v>
      </c>
      <c r="E5" s="1"/>
      <c r="F5" s="1">
        <v>17</v>
      </c>
      <c r="G5" s="1">
        <v>25</v>
      </c>
      <c r="H5" s="1">
        <v>30</v>
      </c>
    </row>
    <row r="6" spans="1:8" hidden="1">
      <c r="A6" t="s">
        <v>14</v>
      </c>
      <c r="B6" t="s">
        <v>17</v>
      </c>
      <c r="D6" s="1"/>
      <c r="E6" s="1"/>
      <c r="F6" s="1"/>
      <c r="G6" s="1"/>
      <c r="H6" s="1"/>
    </row>
    <row r="7" spans="1:8">
      <c r="A7" t="s">
        <v>14</v>
      </c>
      <c r="B7" t="s">
        <v>54</v>
      </c>
      <c r="D7" s="7">
        <v>0.25</v>
      </c>
      <c r="E7" s="7"/>
      <c r="F7" s="7">
        <v>2.5000000000000001E-2</v>
      </c>
      <c r="G7" s="7">
        <v>0.22</v>
      </c>
      <c r="H7" s="7">
        <v>0.25</v>
      </c>
    </row>
    <row r="8" spans="1:8">
      <c r="A8" t="s">
        <v>14</v>
      </c>
      <c r="B8" t="s">
        <v>187</v>
      </c>
      <c r="D8" s="1">
        <v>4</v>
      </c>
      <c r="F8" s="1">
        <v>1</v>
      </c>
      <c r="G8" s="1">
        <v>4</v>
      </c>
      <c r="H8" s="1">
        <v>2</v>
      </c>
    </row>
    <row r="9" spans="1:8">
      <c r="A9" t="s">
        <v>15</v>
      </c>
      <c r="B9" t="s">
        <v>67</v>
      </c>
      <c r="D9" s="7">
        <v>0.8</v>
      </c>
      <c r="E9" s="7">
        <v>0.5</v>
      </c>
      <c r="F9" s="7">
        <v>0.5</v>
      </c>
      <c r="G9" s="7">
        <v>0.2</v>
      </c>
      <c r="H9" s="7">
        <v>0.8</v>
      </c>
    </row>
    <row r="10" spans="1:8">
      <c r="A10" t="s">
        <v>14</v>
      </c>
      <c r="B10" t="s">
        <v>201</v>
      </c>
      <c r="D10" s="9">
        <v>1000</v>
      </c>
      <c r="E10" s="7"/>
      <c r="F10" s="9">
        <v>25</v>
      </c>
      <c r="G10" s="9">
        <v>120</v>
      </c>
      <c r="H10" s="9">
        <v>800</v>
      </c>
    </row>
    <row r="11" spans="1:8">
      <c r="D11" s="7"/>
      <c r="E11" s="7"/>
      <c r="F11" s="9"/>
      <c r="G11" s="9"/>
      <c r="H11" s="9"/>
    </row>
    <row r="12" spans="1:8">
      <c r="A12" t="s">
        <v>14</v>
      </c>
      <c r="B12" t="s">
        <v>44</v>
      </c>
      <c r="D12" s="1">
        <v>1.07</v>
      </c>
      <c r="E12" s="7"/>
      <c r="F12" s="9"/>
      <c r="G12" s="9"/>
      <c r="H12" s="9"/>
    </row>
    <row r="13" spans="1:8">
      <c r="D13" s="7"/>
      <c r="E13" s="7"/>
      <c r="F13" s="9"/>
      <c r="G13" s="9"/>
      <c r="H13" s="9"/>
    </row>
    <row r="14" spans="1:8">
      <c r="B14" t="s">
        <v>96</v>
      </c>
      <c r="D14" s="1">
        <f>BM/Bp</f>
        <v>5</v>
      </c>
      <c r="E14" s="1"/>
      <c r="F14" s="1"/>
      <c r="G14" s="1"/>
      <c r="H14" s="1"/>
    </row>
    <row r="15" spans="1:8">
      <c r="D15" s="1"/>
      <c r="E15" s="1"/>
      <c r="F15" s="7"/>
      <c r="G15" s="7"/>
      <c r="H15" s="7"/>
    </row>
    <row r="16" spans="1:8">
      <c r="B16" t="s">
        <v>200</v>
      </c>
      <c r="D16" s="1">
        <f>D7*SQRT(D5/D4)</f>
        <v>0.55901699437494745</v>
      </c>
      <c r="E16" s="1" t="s">
        <v>165</v>
      </c>
      <c r="F16" s="7"/>
      <c r="G16" s="7"/>
      <c r="H16" s="7"/>
    </row>
    <row r="17" spans="1:19">
      <c r="A17" t="s">
        <v>15</v>
      </c>
      <c r="B17" t="s">
        <v>199</v>
      </c>
      <c r="D17" s="7">
        <v>1.1000000000000001</v>
      </c>
      <c r="E17" s="7"/>
      <c r="F17" s="7">
        <v>4</v>
      </c>
      <c r="G17" s="7">
        <v>1.1000000000000001</v>
      </c>
      <c r="H17" s="7">
        <v>1.1000000000000001</v>
      </c>
    </row>
    <row r="19" spans="1:19">
      <c r="B19" t="s">
        <v>41</v>
      </c>
      <c r="D19" s="1">
        <f>D8*3.14*D16^2</f>
        <v>3.9250000000000007</v>
      </c>
      <c r="E19" s="1"/>
      <c r="F19" s="10"/>
      <c r="G19" s="10"/>
      <c r="H19" s="10"/>
      <c r="K19" s="15" t="s">
        <v>70</v>
      </c>
      <c r="L19" t="s">
        <v>2</v>
      </c>
      <c r="M19" t="s">
        <v>51</v>
      </c>
      <c r="N19" t="s">
        <v>76</v>
      </c>
    </row>
    <row r="20" spans="1:19">
      <c r="F20" s="7"/>
      <c r="G20" s="7"/>
      <c r="H20" s="7"/>
      <c r="L20" t="s">
        <v>52</v>
      </c>
      <c r="M20" t="s">
        <v>53</v>
      </c>
      <c r="O20" t="s">
        <v>151</v>
      </c>
      <c r="P20" t="s">
        <v>150</v>
      </c>
    </row>
    <row r="21" spans="1:19">
      <c r="D21" s="1"/>
      <c r="E21" s="1"/>
      <c r="F21" s="9"/>
      <c r="G21" s="9"/>
      <c r="H21" s="9"/>
      <c r="K21">
        <v>1</v>
      </c>
      <c r="L21" s="1">
        <v>55000000000000</v>
      </c>
      <c r="O21">
        <f>1.5*K21</f>
        <v>1.5</v>
      </c>
      <c r="P21" s="1">
        <f>L21*SQRT(1.5*K21)</f>
        <v>67360967926537.391</v>
      </c>
      <c r="R21" t="s">
        <v>1</v>
      </c>
      <c r="S21" t="s">
        <v>1</v>
      </c>
    </row>
    <row r="22" spans="1:19">
      <c r="B22" t="s">
        <v>12</v>
      </c>
      <c r="D22" s="7">
        <v>2.5</v>
      </c>
      <c r="E22" s="7"/>
      <c r="F22" s="9"/>
      <c r="G22" s="9"/>
      <c r="H22" s="9"/>
      <c r="K22">
        <v>2</v>
      </c>
      <c r="L22" s="1">
        <v>2600000000000000</v>
      </c>
      <c r="M22" s="1">
        <v>54000000000000</v>
      </c>
      <c r="O22">
        <f t="shared" ref="O22:O30" si="0">1.5*K22</f>
        <v>3</v>
      </c>
      <c r="P22" s="1">
        <f t="shared" ref="P22:P30" si="1">L22*SQRT(1.5*K22)</f>
        <v>4503332099679080.5</v>
      </c>
    </row>
    <row r="23" spans="1:19">
      <c r="K23">
        <v>5</v>
      </c>
      <c r="L23" s="1">
        <v>1.3E+17</v>
      </c>
      <c r="M23" s="1">
        <v>1800000000000000</v>
      </c>
      <c r="O23">
        <f t="shared" si="0"/>
        <v>7.5</v>
      </c>
      <c r="P23" s="1">
        <f t="shared" si="1"/>
        <v>3.5601966237835795E+17</v>
      </c>
    </row>
    <row r="24" spans="1:19">
      <c r="B24" t="s">
        <v>141</v>
      </c>
      <c r="D24" s="9">
        <f>0.66*Einj</f>
        <v>660</v>
      </c>
      <c r="E24" s="9"/>
      <c r="F24" s="7"/>
      <c r="G24" s="7"/>
      <c r="H24" s="7"/>
      <c r="K24">
        <v>10</v>
      </c>
      <c r="L24" s="1">
        <v>1.1E+18</v>
      </c>
      <c r="M24" s="1">
        <v>1.2E+16</v>
      </c>
      <c r="N24" s="1">
        <v>2300000000000000</v>
      </c>
      <c r="O24">
        <f t="shared" si="0"/>
        <v>15</v>
      </c>
      <c r="P24" s="1">
        <f t="shared" si="1"/>
        <v>4.260281680828159E+18</v>
      </c>
    </row>
    <row r="25" spans="1:19">
      <c r="B25" t="s">
        <v>153</v>
      </c>
      <c r="D25" s="1">
        <f>0.089*Einj*LOG10(Rmirror)^0.4</f>
        <v>77.121136715649044</v>
      </c>
      <c r="E25" s="10"/>
      <c r="F25" s="7"/>
      <c r="G25" s="7"/>
      <c r="H25" s="7"/>
      <c r="K25">
        <v>20</v>
      </c>
      <c r="L25" s="1">
        <v>4.2E+18</v>
      </c>
      <c r="M25" s="1">
        <v>5.2E+16</v>
      </c>
      <c r="N25" s="1">
        <v>3.8E+16</v>
      </c>
      <c r="O25">
        <f t="shared" si="0"/>
        <v>30</v>
      </c>
      <c r="P25" s="1">
        <f t="shared" si="1"/>
        <v>2.3004347415216976E+19</v>
      </c>
    </row>
    <row r="26" spans="1:19">
      <c r="B26" t="s">
        <v>152</v>
      </c>
      <c r="D26" s="1">
        <f>D25</f>
        <v>77.121136715649044</v>
      </c>
      <c r="E26" s="10" t="s">
        <v>202</v>
      </c>
      <c r="F26" s="7"/>
      <c r="G26" s="7"/>
      <c r="H26" s="7"/>
      <c r="K26">
        <v>50</v>
      </c>
      <c r="L26" s="1">
        <v>8.7E+18</v>
      </c>
      <c r="M26" s="1">
        <v>2.1E+17</v>
      </c>
      <c r="N26" s="1">
        <v>5.4E+17</v>
      </c>
      <c r="O26">
        <f t="shared" si="0"/>
        <v>75</v>
      </c>
      <c r="P26" s="1">
        <f t="shared" si="1"/>
        <v>7.5344210129246175E+19</v>
      </c>
    </row>
    <row r="27" spans="1:19">
      <c r="E27" s="7"/>
      <c r="F27" s="7"/>
      <c r="G27" s="7"/>
      <c r="H27" s="7"/>
      <c r="K27">
        <v>100</v>
      </c>
      <c r="L27" s="1">
        <v>8.5E+18</v>
      </c>
      <c r="M27" s="1">
        <v>4.5E+17</v>
      </c>
      <c r="N27" s="1">
        <v>1.6E+18</v>
      </c>
      <c r="O27">
        <f t="shared" si="0"/>
        <v>150</v>
      </c>
      <c r="P27" s="1">
        <f t="shared" si="1"/>
        <v>1.0410331406828506E+20</v>
      </c>
    </row>
    <row r="28" spans="1:19">
      <c r="K28">
        <v>200</v>
      </c>
      <c r="L28" s="1">
        <v>6.3E+18</v>
      </c>
      <c r="M28" s="1">
        <v>8.8E+17</v>
      </c>
      <c r="N28" s="1">
        <v>2.4E+18</v>
      </c>
      <c r="O28">
        <f>1.5*K28</f>
        <v>300</v>
      </c>
      <c r="P28" s="1">
        <f>L28*SQRT(1.5*K28)</f>
        <v>1.0911920087683927E+20</v>
      </c>
    </row>
    <row r="29" spans="1:19">
      <c r="B29" t="s">
        <v>43</v>
      </c>
      <c r="D29" s="1">
        <f>D4^2*D9/0.04/( D24 + D26)</f>
        <v>0.97677296734165731</v>
      </c>
      <c r="E29" s="7"/>
      <c r="F29" s="8"/>
      <c r="G29" s="8"/>
      <c r="H29" s="8"/>
      <c r="K29">
        <v>500</v>
      </c>
      <c r="L29" s="1">
        <v>3.7E+18</v>
      </c>
      <c r="M29" s="1">
        <v>1.8E+18</v>
      </c>
      <c r="N29" s="1">
        <v>2.3E+18</v>
      </c>
      <c r="O29">
        <f t="shared" si="0"/>
        <v>750</v>
      </c>
      <c r="P29" s="1">
        <f t="shared" si="1"/>
        <v>1.0132867313845574E+20</v>
      </c>
      <c r="S29" t="s">
        <v>1</v>
      </c>
    </row>
    <row r="30" spans="1:19">
      <c r="B30" t="s">
        <v>93</v>
      </c>
      <c r="D30" s="1">
        <f>D29</f>
        <v>0.97677296734165731</v>
      </c>
      <c r="E30" s="7"/>
      <c r="F30" s="9"/>
      <c r="G30" s="9"/>
      <c r="H30" s="9"/>
      <c r="K30">
        <v>1000</v>
      </c>
      <c r="L30" s="1">
        <v>2.7E+18</v>
      </c>
      <c r="M30" s="1">
        <v>2.2E+18</v>
      </c>
      <c r="N30" s="1">
        <v>1.8E+18</v>
      </c>
      <c r="O30">
        <f t="shared" si="0"/>
        <v>1500</v>
      </c>
      <c r="P30" s="1">
        <f t="shared" si="1"/>
        <v>1.0457055034760025E+20</v>
      </c>
    </row>
    <row r="31" spans="1:19">
      <c r="B31" t="s">
        <v>45</v>
      </c>
      <c r="D31" s="1">
        <f>0.0031*SQRT(mu)*SQRT(Eion)/Bp</f>
        <v>2.0987099211976234E-2</v>
      </c>
      <c r="E31" s="8"/>
      <c r="F31" s="9"/>
      <c r="G31" s="9"/>
      <c r="H31" s="9"/>
    </row>
    <row r="32" spans="1:19">
      <c r="B32" t="s">
        <v>193</v>
      </c>
      <c r="D32" s="1">
        <f>0.0238*SQRT(1000)*Te^0.5/10000/Bp</f>
        <v>1.1015708062329833E-4</v>
      </c>
      <c r="E32" s="8"/>
      <c r="F32" s="9"/>
      <c r="G32" s="9"/>
      <c r="H32" s="9"/>
    </row>
    <row r="33" spans="1:17">
      <c r="B33" t="s">
        <v>209</v>
      </c>
      <c r="D33" s="1">
        <f>0.028*SQRT(mu/n_20)</f>
        <v>4.4795173164494467E-2</v>
      </c>
      <c r="E33" s="8"/>
      <c r="F33" s="9"/>
      <c r="G33" s="9"/>
      <c r="H33" s="9"/>
    </row>
    <row r="34" spans="1:17">
      <c r="B34" t="s">
        <v>203</v>
      </c>
      <c r="D34" s="1">
        <f>97900*SQRT(Eion*1000/mu)</f>
        <v>50301930.77805265</v>
      </c>
      <c r="E34" s="8"/>
      <c r="F34" s="9"/>
      <c r="G34" s="9"/>
      <c r="H34" s="9"/>
    </row>
    <row r="35" spans="1:17">
      <c r="B35" t="s">
        <v>204</v>
      </c>
      <c r="D35" s="1">
        <f>D34/D8</f>
        <v>12575482.694513163</v>
      </c>
      <c r="E35" s="8" t="s">
        <v>205</v>
      </c>
      <c r="F35" s="9"/>
      <c r="G35" s="9"/>
      <c r="H35" s="9"/>
    </row>
    <row r="36" spans="1:17">
      <c r="A36" t="s">
        <v>1</v>
      </c>
      <c r="B36" t="s">
        <v>0</v>
      </c>
      <c r="C36" t="s">
        <v>55</v>
      </c>
      <c r="D36" s="10">
        <f>D16/D31</f>
        <v>26.636220124024852</v>
      </c>
      <c r="E36" s="10"/>
      <c r="F36" s="7"/>
      <c r="G36" s="7"/>
      <c r="H36" s="7"/>
    </row>
    <row r="37" spans="1:17">
      <c r="B37" t="s">
        <v>210</v>
      </c>
      <c r="D37" s="10">
        <f>D16/D33</f>
        <v>12.479402464237715</v>
      </c>
      <c r="E37" s="10"/>
      <c r="F37" s="7"/>
      <c r="G37" s="7"/>
      <c r="H37" s="7"/>
    </row>
    <row r="38" spans="1:17">
      <c r="B38" t="s">
        <v>13</v>
      </c>
      <c r="D38" s="9">
        <f>28*D4</f>
        <v>168</v>
      </c>
      <c r="E38" s="9"/>
      <c r="F38" s="9"/>
      <c r="G38" s="9"/>
      <c r="H38" s="9"/>
      <c r="Q38">
        <f>SQRT(1000)/10000</f>
        <v>3.1622776601683794E-3</v>
      </c>
    </row>
    <row r="39" spans="1:17">
      <c r="B39" t="s">
        <v>60</v>
      </c>
      <c r="D39" s="9">
        <f xml:space="preserve"> D4*15/2</f>
        <v>45</v>
      </c>
      <c r="E39" s="9"/>
      <c r="F39" s="7"/>
      <c r="G39" s="7"/>
      <c r="H39" s="7"/>
    </row>
    <row r="40" spans="1:17">
      <c r="B40" t="s">
        <v>61</v>
      </c>
      <c r="D40" s="7">
        <f xml:space="preserve"> D4*15/3</f>
        <v>30</v>
      </c>
      <c r="E40" s="7"/>
      <c r="F40" s="1"/>
      <c r="G40" s="1"/>
      <c r="H40" s="1"/>
    </row>
    <row r="41" spans="1:17">
      <c r="B41" t="s">
        <v>11</v>
      </c>
      <c r="D41" s="9">
        <f>2100*SQRT(D29/2)</f>
        <v>1467.5777297943555</v>
      </c>
      <c r="E41" s="9"/>
      <c r="F41" s="1"/>
      <c r="G41" s="1"/>
      <c r="H41" s="1"/>
      <c r="K41" s="2"/>
      <c r="L41" s="2">
        <f>23/17</f>
        <v>1.3529411764705883</v>
      </c>
      <c r="M41" s="2"/>
      <c r="N41" s="2"/>
      <c r="O41" s="2"/>
      <c r="P41" s="2"/>
    </row>
    <row r="42" spans="1:17">
      <c r="B42" t="s">
        <v>63</v>
      </c>
      <c r="D42" s="7">
        <f>90*SQRT(D30)</f>
        <v>88.948642684795502</v>
      </c>
      <c r="E42" s="7"/>
      <c r="F42" s="1"/>
      <c r="G42" s="1"/>
      <c r="H42" s="1"/>
      <c r="Q42" s="2"/>
    </row>
    <row r="43" spans="1:17">
      <c r="B43" t="s">
        <v>208</v>
      </c>
      <c r="D43" s="7">
        <f>2*D16^2/D8/D31</f>
        <v>7.4450498576209316</v>
      </c>
      <c r="E43" s="7"/>
      <c r="F43" s="1"/>
      <c r="G43" s="1"/>
      <c r="H43" s="1"/>
      <c r="Q43" s="2"/>
    </row>
    <row r="44" spans="1:17" s="2" customFormat="1">
      <c r="A44"/>
      <c r="B44" t="s">
        <v>4</v>
      </c>
      <c r="C44" t="s">
        <v>50</v>
      </c>
      <c r="D44" s="1">
        <f>(D41/D39)^2</f>
        <v>1063.5972311053602</v>
      </c>
      <c r="E44" s="1"/>
      <c r="F44" s="3"/>
      <c r="G44" s="3"/>
      <c r="H44" s="3"/>
      <c r="I44" s="25"/>
      <c r="K44"/>
      <c r="L44"/>
      <c r="M44"/>
      <c r="N44"/>
      <c r="O44"/>
      <c r="P44"/>
      <c r="Q44"/>
    </row>
    <row r="45" spans="1:17">
      <c r="B45" t="s">
        <v>66</v>
      </c>
      <c r="D45" s="1">
        <f>SQRT(1 + Te/511)</f>
        <v>1.0728103232439574</v>
      </c>
      <c r="E45" s="1"/>
      <c r="F45" s="9"/>
      <c r="G45" s="9"/>
      <c r="H45" s="9"/>
      <c r="K45" t="s">
        <v>48</v>
      </c>
      <c r="L45" t="s">
        <v>49</v>
      </c>
    </row>
    <row r="46" spans="1:17" ht="17" customHeight="1">
      <c r="D46" s="1"/>
      <c r="E46" s="1"/>
      <c r="F46" s="9"/>
      <c r="G46" s="9"/>
      <c r="H46" s="9"/>
    </row>
    <row r="47" spans="1:17">
      <c r="A47" s="2"/>
      <c r="B47" s="2" t="s">
        <v>58</v>
      </c>
      <c r="C47" s="2"/>
      <c r="D47" s="3"/>
      <c r="E47" s="3"/>
      <c r="F47" s="9"/>
      <c r="G47" s="9"/>
      <c r="H47" s="9"/>
    </row>
    <row r="48" spans="1:17">
      <c r="B48" t="s">
        <v>18</v>
      </c>
      <c r="D48" s="9">
        <f>8*D39</f>
        <v>360</v>
      </c>
      <c r="E48" s="9"/>
      <c r="F48" s="9"/>
      <c r="G48" s="9"/>
      <c r="H48" s="9"/>
    </row>
    <row r="49" spans="2:18">
      <c r="B49" t="s">
        <v>19</v>
      </c>
      <c r="D49" s="9">
        <f>D39*6</f>
        <v>270</v>
      </c>
      <c r="E49" s="9"/>
      <c r="F49" s="2"/>
      <c r="G49" s="2"/>
      <c r="H49" s="2"/>
      <c r="K49" t="s">
        <v>48</v>
      </c>
      <c r="L49" t="s">
        <v>49</v>
      </c>
      <c r="R49">
        <f>LOG10(20)</f>
        <v>1.3010299956639813</v>
      </c>
    </row>
    <row r="50" spans="2:18">
      <c r="B50" t="s">
        <v>20</v>
      </c>
      <c r="D50" s="9">
        <f>4*D39</f>
        <v>180</v>
      </c>
      <c r="E50" s="9"/>
      <c r="I50" s="24">
        <f>14.93*2000/1750</f>
        <v>17.062857142857144</v>
      </c>
      <c r="K50" t="s">
        <v>47</v>
      </c>
      <c r="M50" t="s">
        <v>0</v>
      </c>
    </row>
    <row r="51" spans="2:18">
      <c r="B51" s="2" t="s">
        <v>59</v>
      </c>
      <c r="D51" s="9"/>
      <c r="E51" s="9"/>
    </row>
    <row r="52" spans="2:18">
      <c r="B52" t="s">
        <v>18</v>
      </c>
      <c r="D52" s="2">
        <f>8*D40</f>
        <v>240</v>
      </c>
      <c r="E52" s="2"/>
      <c r="F52" s="1"/>
      <c r="G52" s="1"/>
      <c r="H52" s="1"/>
    </row>
    <row r="53" spans="2:18">
      <c r="B53" t="s">
        <v>19</v>
      </c>
      <c r="D53">
        <f>6*D40</f>
        <v>180</v>
      </c>
    </row>
    <row r="54" spans="2:18">
      <c r="B54" t="s">
        <v>20</v>
      </c>
      <c r="D54">
        <f>4*D40</f>
        <v>120</v>
      </c>
      <c r="F54" s="1"/>
      <c r="G54" s="1"/>
      <c r="H54" s="1"/>
      <c r="K54">
        <v>100</v>
      </c>
      <c r="L54">
        <v>0.12</v>
      </c>
      <c r="M54">
        <v>6</v>
      </c>
      <c r="P54">
        <f>0.000125 *SQRT(2.5)/0.000006</f>
        <v>32.940392293420615</v>
      </c>
    </row>
    <row r="55" spans="2:18">
      <c r="D55" s="1"/>
      <c r="E55" s="1"/>
      <c r="K55">
        <v>1000</v>
      </c>
      <c r="L55">
        <v>0.2</v>
      </c>
      <c r="M55">
        <v>10</v>
      </c>
    </row>
    <row r="56" spans="2:18">
      <c r="B56" t="s">
        <v>64</v>
      </c>
      <c r="D56">
        <f>SQRT(90*D38/D42^2/D50)</f>
        <v>0.10303868741864829</v>
      </c>
      <c r="F56" s="1"/>
      <c r="G56" s="1"/>
      <c r="H56" s="1"/>
      <c r="K56">
        <v>10000</v>
      </c>
      <c r="L56">
        <v>1.2</v>
      </c>
      <c r="M56">
        <v>60</v>
      </c>
    </row>
    <row r="57" spans="2:18">
      <c r="D57" s="1"/>
      <c r="E57" s="1"/>
      <c r="F57" s="1"/>
      <c r="G57" s="1"/>
      <c r="H57" s="1"/>
    </row>
    <row r="58" spans="2:18">
      <c r="B58" t="s">
        <v>136</v>
      </c>
      <c r="D58" s="1">
        <v>3500</v>
      </c>
      <c r="E58" s="1"/>
      <c r="F58" s="1"/>
      <c r="G58" s="1"/>
      <c r="H58" s="1"/>
      <c r="K58">
        <v>100000</v>
      </c>
      <c r="L58">
        <v>0.8</v>
      </c>
      <c r="M58">
        <v>40</v>
      </c>
    </row>
    <row r="59" spans="2:18">
      <c r="D59" s="1"/>
      <c r="E59" s="1"/>
      <c r="F59" s="1"/>
      <c r="G59" s="1"/>
      <c r="H59" s="1"/>
    </row>
    <row r="60" spans="2:18">
      <c r="B60" t="s">
        <v>56</v>
      </c>
      <c r="D60" s="1">
        <f>D30*D19</f>
        <v>3.8338338968160057</v>
      </c>
      <c r="E60" s="1"/>
      <c r="F60" s="1"/>
      <c r="G60" s="1"/>
      <c r="H60" s="1"/>
    </row>
    <row r="61" spans="2:18">
      <c r="B61" t="s">
        <v>81</v>
      </c>
      <c r="D61" s="1">
        <f xml:space="preserve"> 31 - 0.5 *LN(10^20) - 0.5 * LN(n_20) + LN(1000*Te)</f>
        <v>19.239032254445604</v>
      </c>
      <c r="E61" s="1"/>
      <c r="F61" s="1"/>
      <c r="G61" s="1"/>
      <c r="H61" s="1"/>
    </row>
    <row r="62" spans="2:18">
      <c r="B62" t="s">
        <v>80</v>
      </c>
      <c r="D62" s="1">
        <f xml:space="preserve"> 24 - 0.5 *LN(10^14) - 0.5 * LN(n_20) +  LN(1000*Te)</f>
        <v>19.146787533427741</v>
      </c>
      <c r="E62" s="1"/>
      <c r="F62" s="1"/>
      <c r="G62" s="1"/>
      <c r="H62" s="1"/>
      <c r="I62" s="24">
        <f>(0.017/7)^0.4</f>
        <v>8.9978832245033585E-2</v>
      </c>
    </row>
    <row r="63" spans="2:18">
      <c r="B63" t="s">
        <v>79</v>
      </c>
      <c r="D63" s="1">
        <f xml:space="preserve"> 23.5 - 0.5 *LN(10^14) - 0.5 * LN(n_20) + 1.5* LN(1000*Te) - (0.00001 + ( LN(1000*Te) - 2)^2 / 16)^0.5</f>
        <v>21.96006853918508</v>
      </c>
      <c r="E63" s="1"/>
      <c r="F63" s="1"/>
      <c r="G63" s="1"/>
      <c r="H63" s="1"/>
    </row>
    <row r="64" spans="2:18">
      <c r="B64" t="s">
        <v>192</v>
      </c>
      <c r="D64" s="1">
        <f>0.00000000344*1000^1.5*Te^1.5/lambda_ei</f>
        <v>3.8478900834711368E-3</v>
      </c>
      <c r="E64" s="1"/>
      <c r="F64" s="1"/>
      <c r="G64" s="1"/>
      <c r="H64" s="1"/>
    </row>
    <row r="65" spans="1:20">
      <c r="B65" t="s">
        <v>38</v>
      </c>
      <c r="D65" s="1" cm="1">
        <f t="array" ref="D65">0.0001*Te^1.5/n_20/lambda_ee</f>
        <v>3.1574233051324357E-3</v>
      </c>
      <c r="E65" s="1"/>
      <c r="F65" s="1"/>
      <c r="G65" s="1"/>
      <c r="H65" s="1"/>
      <c r="L65">
        <f>128/10</f>
        <v>12.8</v>
      </c>
      <c r="M65">
        <f>8.5/4</f>
        <v>2.125</v>
      </c>
    </row>
    <row r="66" spans="1:20">
      <c r="B66" t="s">
        <v>37</v>
      </c>
      <c r="D66" s="1">
        <f>0.000125*Eion^1.5*mu^0.5/n_20/Zeff^4</f>
        <v>2.617382402105203</v>
      </c>
      <c r="E66" s="1"/>
      <c r="F66" s="1"/>
      <c r="G66" s="1"/>
      <c r="H66" s="1"/>
      <c r="J66">
        <f>SQRT(2.5)</f>
        <v>1.5811388300841898</v>
      </c>
      <c r="Q66">
        <f>16/0.000125</f>
        <v>128000</v>
      </c>
    </row>
    <row r="67" spans="1:20">
      <c r="B67" t="s">
        <v>36</v>
      </c>
      <c r="D67" s="1">
        <f>0.1*Te^1.5*mu/n_20/1^2/lambda_ei</f>
        <v>9.0533767174878559</v>
      </c>
      <c r="E67" s="1"/>
      <c r="F67" s="1"/>
      <c r="G67" s="1"/>
      <c r="H67" s="1"/>
      <c r="R67">
        <f>Q66/100^1.5</f>
        <v>127.99999999999991</v>
      </c>
    </row>
    <row r="68" spans="1:20">
      <c r="B68" t="s">
        <v>137</v>
      </c>
      <c r="D68" s="1">
        <f>0.1*Te^1.5*4/n_20/2^2/lambda_ei</f>
        <v>3.6213506869951426</v>
      </c>
      <c r="E68" s="1"/>
      <c r="F68" s="1"/>
      <c r="G68" s="1"/>
      <c r="H68" s="1"/>
    </row>
    <row r="69" spans="1:20">
      <c r="B69" t="s">
        <v>39</v>
      </c>
      <c r="D69" s="1">
        <f>1/( 1/tau_ii/0.4/LN(Rmirror/SQRT(1-beta) ) + 1/tau_s )</f>
        <v>1.9758841800512887</v>
      </c>
      <c r="E69" s="1"/>
      <c r="F69" s="1"/>
      <c r="G69" s="1"/>
      <c r="H69" s="1"/>
      <c r="I69" s="24" t="s">
        <v>134</v>
      </c>
    </row>
    <row r="70" spans="1:20" ht="31.35">
      <c r="B70" t="s">
        <v>133</v>
      </c>
      <c r="D70" s="1">
        <f>0.00028*Einj^1.5 *LOG10( BM/Bp/SQRT(1-beta) ) / n_20</f>
        <v>9.5041700330749386</v>
      </c>
      <c r="E70" s="1"/>
      <c r="F70" s="1" t="s">
        <v>185</v>
      </c>
      <c r="G70" s="1"/>
      <c r="H70" s="1"/>
      <c r="I70" s="24" t="s">
        <v>191</v>
      </c>
      <c r="L70">
        <f>128000/100^1.5</f>
        <v>127.99999999999991</v>
      </c>
    </row>
    <row r="71" spans="1:20">
      <c r="D71" s="1"/>
      <c r="E71" s="1"/>
      <c r="F71" s="1"/>
      <c r="G71" s="1"/>
      <c r="H71" s="1"/>
    </row>
    <row r="72" spans="1:20">
      <c r="B72" t="s">
        <v>42</v>
      </c>
      <c r="D72" s="1">
        <f>D60*100000000000000000000/D70</f>
        <v>4.0338439689884459E+19</v>
      </c>
      <c r="E72" s="1"/>
      <c r="F72" s="1"/>
      <c r="G72" s="1"/>
      <c r="H72" s="1"/>
    </row>
    <row r="73" spans="1:20">
      <c r="D73" s="1"/>
      <c r="E73" s="1"/>
      <c r="F73" s="1"/>
      <c r="G73" s="1"/>
      <c r="H73" s="1"/>
    </row>
    <row r="74" spans="1:20">
      <c r="B74" t="s">
        <v>69</v>
      </c>
      <c r="D74" s="1">
        <f>D72*1.6E-19</f>
        <v>6.4541503503815134</v>
      </c>
      <c r="E74" s="1"/>
      <c r="F74" s="1"/>
      <c r="G74" s="1"/>
      <c r="H74" s="1"/>
    </row>
    <row r="75" spans="1:20">
      <c r="A75" t="s">
        <v>78</v>
      </c>
      <c r="B75" t="s">
        <v>68</v>
      </c>
      <c r="D75" s="1">
        <f>Einj</f>
        <v>1000</v>
      </c>
      <c r="E75" s="1"/>
      <c r="F75" s="1">
        <v>25</v>
      </c>
      <c r="G75" s="1">
        <v>150</v>
      </c>
      <c r="H75" s="1">
        <v>150</v>
      </c>
      <c r="L75">
        <f>6 *SQRT(2.5)/12.8</f>
        <v>0.74115882660196386</v>
      </c>
      <c r="T75">
        <f>0.85*1.6*17.6/4</f>
        <v>5.9840000000000009</v>
      </c>
    </row>
    <row r="76" spans="1:20" hidden="1">
      <c r="D76" s="1"/>
      <c r="E76" s="1"/>
      <c r="F76" s="1"/>
      <c r="G76" s="1"/>
      <c r="H76" s="1"/>
    </row>
    <row r="77" spans="1:20">
      <c r="B77" t="s">
        <v>71</v>
      </c>
      <c r="D77" s="17">
        <f ca="1">FORECAST(Eion,OFFSET($L$21:$L$30,MATCH(Eion,$K$21:$K$30,1)-1,0,2), OFFSET($K$21:$K$30,MATCH(Eion,$K$21:$K$30,1)-1,0,2))</f>
        <v>3.38E+18</v>
      </c>
      <c r="E77" s="17"/>
      <c r="F77" s="1"/>
      <c r="G77" s="1"/>
      <c r="H77" s="1"/>
    </row>
    <row r="78" spans="1:20">
      <c r="B78" t="s">
        <v>72</v>
      </c>
      <c r="D78" s="17">
        <f ca="1">FORECAST(0.66*Eion,OFFSET($M$24:$M$30,MATCH(Eion,$K$24:$K$30,1)-1,0,2), OFFSET($K$24:$K$30,MATCH(Eion,$K$24:$K$30,1)-1,0,2))</f>
        <v>1.74848E+18</v>
      </c>
      <c r="E78" s="17"/>
      <c r="F78" s="1"/>
      <c r="G78" s="1"/>
      <c r="H78" s="1"/>
    </row>
    <row r="79" spans="1:20">
      <c r="D79" s="1"/>
      <c r="E79" s="1"/>
      <c r="F79" s="1"/>
      <c r="G79" s="1"/>
      <c r="H79" s="1"/>
    </row>
    <row r="80" spans="1:20">
      <c r="B80" t="s">
        <v>194</v>
      </c>
      <c r="D80" s="1">
        <f>D16^2*D64/D32^2</f>
        <v>99094.110560435598</v>
      </c>
      <c r="E80" s="1"/>
      <c r="F80" s="1"/>
      <c r="G80" s="1"/>
      <c r="H80" s="1"/>
    </row>
    <row r="81" spans="1:17">
      <c r="A81" t="s">
        <v>62</v>
      </c>
      <c r="B81" t="s">
        <v>40</v>
      </c>
      <c r="D81" s="1">
        <v>0</v>
      </c>
      <c r="E81" s="1"/>
      <c r="F81" s="1"/>
      <c r="G81" s="1"/>
      <c r="H81" s="1"/>
    </row>
    <row r="82" spans="1:17">
      <c r="D82" s="1"/>
      <c r="E82" s="1"/>
      <c r="F82" s="1"/>
      <c r="G82" s="1"/>
      <c r="H82" s="1"/>
    </row>
    <row r="83" spans="1:17">
      <c r="B83" t="s">
        <v>75</v>
      </c>
      <c r="D83" s="1">
        <f>I_nbi*Einj*0.001/tau_s</f>
        <v>0.71289978886158856</v>
      </c>
      <c r="E83" s="1"/>
      <c r="F83" s="1"/>
      <c r="G83" s="1"/>
      <c r="H83" s="1"/>
    </row>
    <row r="84" spans="1:17">
      <c r="B84" t="s">
        <v>73</v>
      </c>
      <c r="D84" s="1" cm="1">
        <f t="array" ref="D84">0.006*volume*n_20*Te*gamma_lorentz^2*Bp^2</f>
        <v>73.503218157735802</v>
      </c>
      <c r="E84" s="1"/>
      <c r="F84" s="1"/>
      <c r="G84" s="1"/>
      <c r="H84" s="1"/>
      <c r="I84" s="24" t="s">
        <v>84</v>
      </c>
    </row>
    <row r="85" spans="1:17">
      <c r="B85" t="s">
        <v>74</v>
      </c>
      <c r="D85" s="1">
        <f>5350*n_20^2*Zeff*SQRT(Te)*volume*0.000001</f>
        <v>0.18825702679911668</v>
      </c>
      <c r="E85" s="1"/>
      <c r="F85" s="1"/>
      <c r="G85" s="1"/>
      <c r="H85" s="1"/>
    </row>
    <row r="86" spans="1:17">
      <c r="B86" t="s">
        <v>77</v>
      </c>
      <c r="D86" s="1">
        <f>(I_nbi+I_cool)*7*Te*0.001</f>
        <v>3.4842598808858884</v>
      </c>
      <c r="E86" s="1"/>
      <c r="F86" s="1"/>
      <c r="G86" s="1"/>
      <c r="H86" s="1"/>
    </row>
    <row r="87" spans="1:17">
      <c r="D87" s="1"/>
      <c r="E87" s="1"/>
      <c r="F87" s="1"/>
      <c r="G87" s="1"/>
      <c r="H87" s="1"/>
    </row>
    <row r="88" spans="1:17">
      <c r="B88" t="s">
        <v>7</v>
      </c>
      <c r="D88" s="1">
        <f>D75*1000*D74*0.000001</f>
        <v>6.4541503503815125</v>
      </c>
      <c r="E88" s="1"/>
      <c r="F88" s="1"/>
      <c r="G88" s="1"/>
      <c r="H88" s="1"/>
    </row>
    <row r="89" spans="1:17" ht="16" thickBot="1">
      <c r="B89" t="s">
        <v>8</v>
      </c>
      <c r="D89" s="1">
        <f>MAX(0.001*(D10-D75)*D74,0)</f>
        <v>0</v>
      </c>
      <c r="E89" s="1"/>
      <c r="F89" s="1"/>
      <c r="G89" s="1"/>
      <c r="H89" s="1"/>
      <c r="I89" s="24" t="s">
        <v>174</v>
      </c>
      <c r="K89" s="5"/>
      <c r="L89" s="5"/>
      <c r="M89" s="5"/>
      <c r="N89" s="5"/>
      <c r="O89" s="5"/>
      <c r="P89" s="5"/>
    </row>
    <row r="90" spans="1:17" ht="16.350000000000001" thickTop="1" thickBot="1">
      <c r="B90" t="s">
        <v>82</v>
      </c>
      <c r="D90" s="1">
        <f>I_nbi*(Einj - Te)*0.001</f>
        <v>5.9563989388263865</v>
      </c>
      <c r="E90" s="1"/>
      <c r="F90" s="1"/>
      <c r="G90" s="1"/>
      <c r="H90" s="1"/>
      <c r="I90" s="24" t="s">
        <v>85</v>
      </c>
      <c r="Q90" s="5"/>
    </row>
    <row r="91" spans="1:17" s="5" customFormat="1" ht="32" thickTop="1" thickBot="1">
      <c r="B91" s="5" t="s">
        <v>9</v>
      </c>
      <c r="D91" s="6">
        <f>MAX(0.05*Psynch +Pe_endloss -D83,0)</f>
        <v>6.4465209999110895</v>
      </c>
      <c r="E91" s="6"/>
      <c r="F91" s="6"/>
      <c r="G91" s="6"/>
      <c r="H91" s="6"/>
      <c r="I91" s="26" t="s">
        <v>142</v>
      </c>
      <c r="K91"/>
      <c r="L91"/>
      <c r="M91"/>
      <c r="N91"/>
      <c r="O91"/>
      <c r="P91"/>
      <c r="Q91"/>
    </row>
    <row r="92" spans="1:17" ht="16" thickTop="1">
      <c r="B92" t="s">
        <v>10</v>
      </c>
      <c r="D92" s="1">
        <f>D91+D89+D88</f>
        <v>12.900671350292601</v>
      </c>
      <c r="E92" s="1"/>
      <c r="F92" s="1"/>
      <c r="G92" s="1"/>
      <c r="H92" s="1"/>
    </row>
    <row r="93" spans="1:17">
      <c r="D93" s="1"/>
      <c r="E93" s="1"/>
      <c r="F93" s="1"/>
      <c r="G93" s="1"/>
      <c r="H93" s="1"/>
    </row>
    <row r="94" spans="1:17">
      <c r="B94" t="s">
        <v>188</v>
      </c>
      <c r="D94" s="1">
        <f>D70*D29*Eion</f>
        <v>6127.0548011153342</v>
      </c>
      <c r="E94" s="1" t="s">
        <v>189</v>
      </c>
      <c r="F94" s="1"/>
      <c r="G94" s="1"/>
      <c r="H94" s="1"/>
    </row>
    <row r="95" spans="1:17">
      <c r="B95" t="s">
        <v>23</v>
      </c>
      <c r="D95" s="3">
        <f ca="1">0.25*volume*sigma_v_dt*n_20^2</f>
        <v>3.1643435883763589E+18</v>
      </c>
      <c r="E95" s="3"/>
      <c r="F95" s="1"/>
      <c r="G95" s="1"/>
      <c r="H95" s="1"/>
      <c r="I95" s="24">
        <f>0.16/0.00026</f>
        <v>615.38461538461547</v>
      </c>
    </row>
    <row r="96" spans="1:17">
      <c r="B96" t="s">
        <v>22</v>
      </c>
      <c r="D96" s="1">
        <f ca="1" xml:space="preserve"> volume*sigma_v_dd*n_20^2</f>
        <v>6.5476822217802322E+18</v>
      </c>
      <c r="E96" s="1"/>
      <c r="F96" s="1"/>
      <c r="G96" s="1"/>
      <c r="H96" s="1"/>
    </row>
    <row r="97" spans="1:9">
      <c r="B97" t="s">
        <v>21</v>
      </c>
      <c r="D97" s="1">
        <f ca="1">D95*17.6*1.6E-19</f>
        <v>8.910791544867827</v>
      </c>
      <c r="E97" s="1"/>
      <c r="F97" s="1"/>
      <c r="G97" s="1"/>
      <c r="H97" s="1"/>
    </row>
    <row r="98" spans="1:9">
      <c r="B98" t="s">
        <v>5</v>
      </c>
      <c r="D98" s="1">
        <f>PI() * 4 * D16^2</f>
        <v>3.9269908169872423</v>
      </c>
      <c r="E98" s="1"/>
      <c r="F98" s="1"/>
      <c r="G98" s="1"/>
      <c r="H98" s="1"/>
    </row>
    <row r="99" spans="1:9">
      <c r="B99" t="s">
        <v>149</v>
      </c>
      <c r="D99" s="1">
        <f ca="1">D97/D92</f>
        <v>0.69072308742023114</v>
      </c>
      <c r="E99" s="1"/>
      <c r="F99" s="1"/>
      <c r="G99" s="1"/>
      <c r="H99" s="1"/>
    </row>
    <row r="100" spans="1:9">
      <c r="B100" t="s">
        <v>6</v>
      </c>
      <c r="D100" s="1">
        <f ca="1">D97/(4*3.14*D16^2*D17^2)*14/17.6</f>
        <v>1.4924734722246755</v>
      </c>
      <c r="E100" s="1"/>
      <c r="F100" s="1"/>
      <c r="G100" s="1"/>
      <c r="H100" s="1"/>
    </row>
    <row r="101" spans="1:9">
      <c r="B101" t="s">
        <v>212</v>
      </c>
      <c r="D101" s="1">
        <f ca="1">D95/D72</f>
        <v>7.8444868287006933E-2</v>
      </c>
      <c r="E101" s="1"/>
      <c r="F101" s="1"/>
      <c r="G101" s="1"/>
      <c r="H101" s="1"/>
    </row>
    <row r="103" spans="1:9">
      <c r="B103" t="s">
        <v>138</v>
      </c>
      <c r="D103" s="1">
        <f ca="1">I_nbi*D99*D68*E_nbi/D58/16/volume</f>
        <v>7.3449009923791261E-2</v>
      </c>
      <c r="E103" s="1"/>
    </row>
    <row r="104" spans="1:9">
      <c r="B104" t="s">
        <v>139</v>
      </c>
      <c r="D104" s="1">
        <f ca="1">1 + 2*D103</f>
        <v>1.1468980198475824</v>
      </c>
      <c r="E104" s="1"/>
    </row>
    <row r="106" spans="1:9">
      <c r="A106" t="s">
        <v>92</v>
      </c>
      <c r="B106" t="s">
        <v>86</v>
      </c>
      <c r="D106" s="1">
        <v>0.9</v>
      </c>
      <c r="E106" s="1"/>
      <c r="F106" s="1"/>
      <c r="G106" s="1"/>
      <c r="H106" s="1"/>
    </row>
    <row r="107" spans="1:9">
      <c r="A107" t="s">
        <v>92</v>
      </c>
      <c r="B107" t="s">
        <v>140</v>
      </c>
      <c r="D107" s="1">
        <v>0.7</v>
      </c>
      <c r="E107" s="1"/>
      <c r="F107" s="1"/>
      <c r="G107" s="1"/>
      <c r="H107" s="1"/>
    </row>
    <row r="108" spans="1:9">
      <c r="A108" t="s">
        <v>92</v>
      </c>
      <c r="B108" t="s">
        <v>145</v>
      </c>
      <c r="D108" s="1">
        <v>0.5</v>
      </c>
      <c r="E108" s="1"/>
      <c r="F108" s="1"/>
      <c r="G108" s="1"/>
      <c r="H108" s="1"/>
    </row>
    <row r="109" spans="1:9">
      <c r="D109" s="1"/>
      <c r="E109" s="1"/>
      <c r="F109" s="1"/>
      <c r="G109" s="1"/>
      <c r="H109" s="1"/>
    </row>
    <row r="110" spans="1:9">
      <c r="B110" t="s">
        <v>144</v>
      </c>
      <c r="D110" s="1">
        <f>D92/D107 - D106*D92*(1 - Te/Einj)</f>
        <v>7.7143492801912767</v>
      </c>
      <c r="E110" s="1"/>
    </row>
    <row r="111" spans="1:9">
      <c r="B111" t="s">
        <v>143</v>
      </c>
      <c r="D111" s="1">
        <f ca="1">0.8*D97*D107</f>
        <v>4.9900432651259834</v>
      </c>
      <c r="E111" s="1"/>
      <c r="I111" s="28"/>
    </row>
    <row r="112" spans="1:9">
      <c r="D112" s="1"/>
      <c r="E112" s="1"/>
      <c r="F112" s="1"/>
      <c r="G112" s="1"/>
      <c r="H112" s="1"/>
    </row>
    <row r="113" spans="1:9">
      <c r="D113" s="1"/>
      <c r="E113" s="1"/>
      <c r="F113" s="1"/>
      <c r="G113" s="1"/>
      <c r="H113" s="1"/>
    </row>
    <row r="114" spans="1:9">
      <c r="B114" t="s">
        <v>146</v>
      </c>
      <c r="D114" s="1">
        <f ca="1">D99/(1/D107 - D106*(1 - Te/Einj+0.2*D99))</f>
        <v>1.458297595142672</v>
      </c>
      <c r="E114" s="1"/>
      <c r="F114" s="1"/>
      <c r="G114" s="1"/>
      <c r="H114" s="1"/>
      <c r="I114" s="24" t="s">
        <v>147</v>
      </c>
    </row>
    <row r="115" spans="1:9">
      <c r="D115" s="1"/>
      <c r="E115" s="1"/>
      <c r="F115" s="1"/>
      <c r="G115" s="1"/>
      <c r="H115" s="1"/>
    </row>
    <row r="116" spans="1:9">
      <c r="B116" t="s">
        <v>148</v>
      </c>
      <c r="D116" s="1">
        <f ca="1">D114*0.8*D107</f>
        <v>0.81664665327989638</v>
      </c>
      <c r="E116" s="1"/>
    </row>
    <row r="119" spans="1:9">
      <c r="A119" s="29" t="s">
        <v>159</v>
      </c>
    </row>
    <row r="120" spans="1:9">
      <c r="B120" s="31" t="s">
        <v>164</v>
      </c>
      <c r="D120">
        <v>0.6</v>
      </c>
      <c r="F120" t="s">
        <v>165</v>
      </c>
    </row>
    <row r="121" spans="1:9">
      <c r="B121" s="29" t="s">
        <v>162</v>
      </c>
    </row>
    <row r="122" spans="1:9">
      <c r="B122" t="s">
        <v>160</v>
      </c>
      <c r="D122" s="7">
        <f>D7+0.1+D120</f>
        <v>0.95</v>
      </c>
      <c r="E122" s="7"/>
    </row>
    <row r="123" spans="1:9">
      <c r="B123" t="s">
        <v>154</v>
      </c>
      <c r="D123">
        <f>10000*BM*D122/2/3.14</f>
        <v>45382.165605095543</v>
      </c>
    </row>
    <row r="124" spans="1:9">
      <c r="B124" t="s">
        <v>155</v>
      </c>
      <c r="D124">
        <f>2*3.14*D122*D123</f>
        <v>270750</v>
      </c>
    </row>
    <row r="125" spans="1:9">
      <c r="B125" t="s">
        <v>156</v>
      </c>
      <c r="D125" s="1">
        <v>1E-4</v>
      </c>
      <c r="E125" s="1"/>
      <c r="F125" t="s">
        <v>158</v>
      </c>
    </row>
    <row r="126" spans="1:9">
      <c r="B126" t="s">
        <v>161</v>
      </c>
      <c r="D126" s="1">
        <f>2*D125*D124</f>
        <v>54.150000000000006</v>
      </c>
      <c r="E126" s="1"/>
      <c r="F126" t="s">
        <v>157</v>
      </c>
    </row>
    <row r="128" spans="1:9">
      <c r="B128" s="30" t="s">
        <v>166</v>
      </c>
    </row>
    <row r="129" spans="2:17">
      <c r="B129" t="s">
        <v>163</v>
      </c>
      <c r="D129">
        <f>D148*D17+D120+0.2</f>
        <v>2.1210572688919691</v>
      </c>
    </row>
    <row r="130" spans="2:17">
      <c r="B130" t="s">
        <v>154</v>
      </c>
      <c r="D130" s="1">
        <f>10000*D147*D129/2/3.14</f>
        <v>4390.7236457954768</v>
      </c>
      <c r="E130" s="1"/>
      <c r="K130" s="4"/>
      <c r="L130" s="4"/>
      <c r="M130" s="4"/>
      <c r="N130" s="4"/>
      <c r="O130" s="4"/>
      <c r="P130" s="4"/>
    </row>
    <row r="131" spans="2:17">
      <c r="B131" t="s">
        <v>155</v>
      </c>
      <c r="D131">
        <f>2*3.14*D129*D130</f>
        <v>58485.491192952955</v>
      </c>
      <c r="Q131" s="4"/>
    </row>
    <row r="132" spans="2:17" s="4" customFormat="1">
      <c r="B132" t="s">
        <v>156</v>
      </c>
      <c r="C132"/>
      <c r="D132" s="1">
        <v>1E-4</v>
      </c>
      <c r="E132" s="1"/>
      <c r="F132" t="s">
        <v>158</v>
      </c>
      <c r="G132"/>
      <c r="H132"/>
      <c r="K132"/>
      <c r="L132"/>
      <c r="M132"/>
      <c r="N132"/>
      <c r="O132"/>
      <c r="P132"/>
      <c r="Q132"/>
    </row>
    <row r="133" spans="2:17">
      <c r="B133" t="s">
        <v>167</v>
      </c>
      <c r="D133" s="1">
        <f>2*D132*D131</f>
        <v>11.697098238590591</v>
      </c>
      <c r="E133" s="1"/>
      <c r="F133" t="s">
        <v>157</v>
      </c>
    </row>
    <row r="134" spans="2:17">
      <c r="D134" s="1"/>
      <c r="E134" s="1"/>
    </row>
    <row r="135" spans="2:17">
      <c r="B135" t="s">
        <v>168</v>
      </c>
      <c r="D135" s="1"/>
      <c r="E135" s="1"/>
    </row>
    <row r="136" spans="2:17">
      <c r="B136" t="s">
        <v>171</v>
      </c>
      <c r="D136" s="7">
        <f>D9+0.2</f>
        <v>1</v>
      </c>
      <c r="E136" s="7"/>
      <c r="K136" t="s">
        <v>1</v>
      </c>
      <c r="L136" t="s">
        <v>1</v>
      </c>
    </row>
    <row r="137" spans="2:17">
      <c r="B137" t="s">
        <v>154</v>
      </c>
      <c r="D137">
        <f>1000*BM*D136/2/3.14</f>
        <v>4777.0700636942674</v>
      </c>
    </row>
    <row r="138" spans="2:17">
      <c r="B138" t="s">
        <v>155</v>
      </c>
      <c r="D138">
        <f>2*3.14*D136*D137</f>
        <v>30000</v>
      </c>
    </row>
    <row r="139" spans="2:17">
      <c r="B139" t="s">
        <v>156</v>
      </c>
      <c r="D139" s="1">
        <v>1E-4</v>
      </c>
      <c r="E139" s="1"/>
      <c r="F139" t="s">
        <v>158</v>
      </c>
    </row>
    <row r="140" spans="2:17">
      <c r="B140" t="s">
        <v>161</v>
      </c>
      <c r="D140" s="1">
        <f>2*D139*D138</f>
        <v>6</v>
      </c>
      <c r="E140" s="1"/>
      <c r="F140" t="s">
        <v>157</v>
      </c>
    </row>
    <row r="141" spans="2:17">
      <c r="D141" s="1"/>
      <c r="E141" s="1"/>
    </row>
    <row r="142" spans="2:17">
      <c r="B142" t="s">
        <v>169</v>
      </c>
      <c r="D142" s="1">
        <f>D140+D133+D126</f>
        <v>71.847098238590604</v>
      </c>
      <c r="E142" s="1"/>
      <c r="F142" t="s">
        <v>157</v>
      </c>
    </row>
    <row r="143" spans="2:17">
      <c r="B143" t="s">
        <v>170</v>
      </c>
      <c r="D143" s="1">
        <f>5*D92</f>
        <v>64.503356751463002</v>
      </c>
      <c r="E143" s="1"/>
      <c r="F143" t="s">
        <v>157</v>
      </c>
    </row>
    <row r="145" spans="1:10" ht="31.7">
      <c r="B145" s="23" t="s">
        <v>114</v>
      </c>
      <c r="C145" s="4"/>
      <c r="D145" s="4"/>
      <c r="E145" s="4"/>
      <c r="F145" s="11"/>
      <c r="G145" s="11"/>
      <c r="H145" s="11"/>
      <c r="I145" s="27" t="s">
        <v>172</v>
      </c>
      <c r="J145" s="4"/>
    </row>
    <row r="146" spans="1:10" ht="18">
      <c r="B146" s="32"/>
      <c r="C146" s="33"/>
      <c r="D146" s="33"/>
      <c r="E146" s="33"/>
      <c r="F146" s="34"/>
      <c r="G146" s="34"/>
      <c r="H146" s="34"/>
      <c r="I146" s="35"/>
      <c r="J146" s="33"/>
    </row>
    <row r="147" spans="1:10">
      <c r="A147" t="s">
        <v>14</v>
      </c>
      <c r="B147" t="s">
        <v>28</v>
      </c>
      <c r="D147" s="1">
        <v>1.3</v>
      </c>
      <c r="E147" s="1"/>
      <c r="F147" s="1"/>
      <c r="G147" s="1"/>
      <c r="H147" s="1"/>
    </row>
    <row r="148" spans="1:10">
      <c r="B148" t="s">
        <v>29</v>
      </c>
      <c r="D148" s="7">
        <f>D7*SQRT(D5/D147)</f>
        <v>1.2009611535381535</v>
      </c>
      <c r="E148" s="7"/>
      <c r="F148" s="7"/>
      <c r="G148" s="7"/>
      <c r="H148" s="7"/>
    </row>
    <row r="149" spans="1:10">
      <c r="B149" t="s">
        <v>207</v>
      </c>
      <c r="D149" s="7">
        <f>BM/D148</f>
        <v>24.979991993593593</v>
      </c>
      <c r="E149" s="7"/>
      <c r="F149" s="7"/>
      <c r="G149" s="7"/>
      <c r="H149" s="7"/>
    </row>
    <row r="150" spans="1:10" ht="31.35">
      <c r="B150" t="s">
        <v>97</v>
      </c>
      <c r="D150" s="1">
        <f>2*D92</f>
        <v>25.801342700585202</v>
      </c>
      <c r="E150" s="1"/>
      <c r="I150" s="24" t="s">
        <v>180</v>
      </c>
    </row>
    <row r="154" spans="1:10">
      <c r="A154" t="s">
        <v>15</v>
      </c>
      <c r="B154" t="s">
        <v>25</v>
      </c>
      <c r="D154">
        <v>0.28000000000000003</v>
      </c>
    </row>
    <row r="155" spans="1:10">
      <c r="A155" t="s">
        <v>15</v>
      </c>
      <c r="B155" t="s">
        <v>26</v>
      </c>
      <c r="D155">
        <v>1</v>
      </c>
      <c r="I155" s="24" t="s">
        <v>98</v>
      </c>
    </row>
    <row r="156" spans="1:10">
      <c r="A156" t="s">
        <v>15</v>
      </c>
      <c r="B156" t="s">
        <v>94</v>
      </c>
      <c r="D156">
        <v>1</v>
      </c>
    </row>
    <row r="158" spans="1:10">
      <c r="B158" t="s">
        <v>24</v>
      </c>
      <c r="D158" s="7">
        <f>D154*n_20</f>
        <v>0.27349643085566405</v>
      </c>
      <c r="E158" s="7"/>
      <c r="F158" s="7"/>
      <c r="G158" s="7"/>
      <c r="H158" s="7"/>
    </row>
    <row r="159" spans="1:10" ht="31.35">
      <c r="B159" t="s">
        <v>27</v>
      </c>
      <c r="D159">
        <f>D26*D155</f>
        <v>77.121136715649044</v>
      </c>
      <c r="F159" t="s">
        <v>217</v>
      </c>
      <c r="I159" s="24" t="s">
        <v>173</v>
      </c>
    </row>
    <row r="160" spans="1:10">
      <c r="B160" t="s">
        <v>30</v>
      </c>
      <c r="D160">
        <f>D156*Tic</f>
        <v>77.121136715649044</v>
      </c>
      <c r="F160" t="s">
        <v>217</v>
      </c>
      <c r="I160" s="24" t="s">
        <v>1</v>
      </c>
    </row>
    <row r="161" spans="2:9">
      <c r="B161" t="s">
        <v>65</v>
      </c>
      <c r="D161" s="7">
        <f>0.04*D158*(Tic+D160)/D147^2</f>
        <v>0.99845470462777375</v>
      </c>
      <c r="E161" s="7"/>
      <c r="F161" s="7"/>
      <c r="G161" s="7"/>
      <c r="H161" s="7"/>
    </row>
    <row r="162" spans="2:9">
      <c r="B162" t="s">
        <v>206</v>
      </c>
      <c r="D162" s="7">
        <f>0.000125*D159^1.5*SQRT(2.5)/D158</f>
        <v>0.48942763474507683</v>
      </c>
      <c r="E162" s="7"/>
      <c r="F162" s="7"/>
      <c r="G162" s="7"/>
      <c r="H162" s="7"/>
    </row>
    <row r="163" spans="2:9">
      <c r="B163" t="s">
        <v>31</v>
      </c>
      <c r="D163" s="10">
        <f>LN(2*D5/D147/SQRT(1-D161)+1)*LN(D30/D158)*(D30/D158)^(D26/D159)</f>
        <v>32.138299644744158</v>
      </c>
      <c r="E163" s="10"/>
      <c r="F163" s="10"/>
      <c r="G163" s="10"/>
      <c r="H163" s="10"/>
    </row>
    <row r="164" spans="2:9">
      <c r="D164" s="10"/>
      <c r="E164" s="10"/>
      <c r="F164" s="10"/>
      <c r="G164" s="10"/>
      <c r="H164" s="10"/>
    </row>
    <row r="165" spans="2:9">
      <c r="B165" t="s">
        <v>195</v>
      </c>
      <c r="D165" s="37">
        <f>0.1 * D160^1.5/D147^2</f>
        <v>40.074990551160035</v>
      </c>
      <c r="E165" s="10"/>
      <c r="F165" s="10" t="s">
        <v>197</v>
      </c>
      <c r="G165" s="10"/>
      <c r="H165" s="10"/>
    </row>
    <row r="166" spans="2:9">
      <c r="B166" t="s">
        <v>196</v>
      </c>
      <c r="D166" s="37">
        <f>D148^2/D165</f>
        <v>3.5990219148434519E-2</v>
      </c>
      <c r="E166" s="10"/>
      <c r="F166" s="10"/>
      <c r="G166" s="10"/>
      <c r="H166" s="10"/>
    </row>
    <row r="167" spans="2:9">
      <c r="D167" s="10"/>
      <c r="E167" s="10"/>
      <c r="F167" s="10"/>
      <c r="G167" s="10"/>
      <c r="H167" s="10"/>
    </row>
    <row r="168" spans="2:9">
      <c r="B168" t="s">
        <v>216</v>
      </c>
      <c r="D168" s="10">
        <f>D163*D162</f>
        <v>15.729371979855676</v>
      </c>
      <c r="E168" s="10"/>
      <c r="F168" s="10" t="s">
        <v>215</v>
      </c>
      <c r="G168" s="10"/>
      <c r="H168" s="10"/>
    </row>
    <row r="169" spans="2:9">
      <c r="D169" s="10"/>
      <c r="E169" s="10"/>
      <c r="F169" s="10"/>
      <c r="G169" s="10"/>
      <c r="H169" s="10"/>
    </row>
    <row r="170" spans="2:9">
      <c r="B170" t="s">
        <v>181</v>
      </c>
      <c r="D170" s="10">
        <f>D158*D159*D168</f>
        <v>331.76950771843667</v>
      </c>
      <c r="E170" s="10"/>
      <c r="F170" s="10"/>
      <c r="G170" s="10"/>
      <c r="H170" s="10"/>
    </row>
    <row r="171" spans="2:9">
      <c r="B171" t="s">
        <v>32</v>
      </c>
      <c r="D171" s="1">
        <f>1.5*0.016*3.14*D148^2*D158*(D160+D159)/D168</f>
        <v>0.2915026501502424</v>
      </c>
      <c r="E171" s="1"/>
      <c r="F171" s="1"/>
      <c r="G171" s="1"/>
      <c r="H171" s="1"/>
    </row>
    <row r="172" spans="2:9">
      <c r="B172" t="s">
        <v>83</v>
      </c>
      <c r="D172" s="1" cm="1">
        <f t="array" aca="1" ref="D172" ca="1">FORECAST(Tic,OFFSET($L$21:$L$30,MATCH(Tic,$K$21:$K$30,1)-1,0,2), OFFSET($K$21:$K$30,MATCH(Tic,$K$21:$K$30,1)-1,0,2))</f>
        <v>8.5915154531374039E+18</v>
      </c>
      <c r="E172" s="1"/>
      <c r="F172" s="1"/>
      <c r="G172" s="1"/>
      <c r="H172" s="1"/>
    </row>
    <row r="173" spans="2:9">
      <c r="B173" t="s">
        <v>35</v>
      </c>
      <c r="D173" s="1">
        <f ca="1">3.14*D148^2*0.25*D158^2*D172</f>
        <v>7.2761338284388659E+17</v>
      </c>
      <c r="E173" s="1"/>
      <c r="F173" s="1"/>
      <c r="G173" s="1"/>
      <c r="H173" s="1"/>
    </row>
    <row r="174" spans="2:9">
      <c r="D174" s="1"/>
      <c r="E174" s="1"/>
      <c r="F174" s="1"/>
      <c r="G174" s="1"/>
      <c r="H174" s="1"/>
      <c r="I174" s="24">
        <f>LN(2*30)</f>
        <v>4.0943445622221004</v>
      </c>
    </row>
    <row r="175" spans="2:9">
      <c r="D175" s="1"/>
      <c r="E175" s="1"/>
      <c r="F175" s="1"/>
      <c r="G175" s="1"/>
      <c r="H175" s="1"/>
    </row>
    <row r="176" spans="2:9">
      <c r="B176" t="s">
        <v>33</v>
      </c>
      <c r="D176" s="1">
        <f ca="1">D173*17.6*1.6E-19</f>
        <v>2.0489592860883845</v>
      </c>
      <c r="E176" s="1"/>
      <c r="F176" s="1"/>
      <c r="G176" s="1"/>
      <c r="H176" s="1"/>
    </row>
    <row r="177" spans="1:9">
      <c r="B177" t="s">
        <v>34</v>
      </c>
      <c r="D177" s="10">
        <f ca="1">D150/D176</f>
        <v>12.592413561248394</v>
      </c>
      <c r="E177" s="10"/>
      <c r="F177" s="10"/>
      <c r="G177" s="10"/>
      <c r="H177" s="10"/>
    </row>
    <row r="178" spans="1:9">
      <c r="D178" s="16"/>
      <c r="E178" s="16"/>
      <c r="F178" s="16"/>
      <c r="G178" s="16"/>
      <c r="H178" s="16"/>
    </row>
    <row r="179" spans="1:9">
      <c r="B179" t="s">
        <v>57</v>
      </c>
      <c r="D179" s="10">
        <f ca="1">D177*D176+D97*2</f>
        <v>43.622925790320856</v>
      </c>
      <c r="E179" s="10"/>
      <c r="F179" s="10"/>
      <c r="G179" s="10"/>
      <c r="H179" s="10"/>
    </row>
    <row r="182" spans="1:9">
      <c r="I182" s="24" t="s">
        <v>99</v>
      </c>
    </row>
    <row r="183" spans="1:9" ht="18">
      <c r="B183" s="22" t="s">
        <v>115</v>
      </c>
      <c r="F183" s="12"/>
      <c r="G183" s="12"/>
      <c r="H183" s="12"/>
    </row>
    <row r="184" spans="1:9">
      <c r="A184" t="s">
        <v>14</v>
      </c>
      <c r="B184" t="s">
        <v>3</v>
      </c>
      <c r="D184" s="7">
        <v>10</v>
      </c>
      <c r="E184" s="7"/>
      <c r="F184" s="13"/>
      <c r="G184" s="13"/>
      <c r="H184" s="13"/>
    </row>
    <row r="185" spans="1:9">
      <c r="B185" t="s">
        <v>46</v>
      </c>
      <c r="D185">
        <f ca="1">D184*D177</f>
        <v>125.92413561248394</v>
      </c>
      <c r="F185" s="7"/>
      <c r="G185" s="7"/>
      <c r="H185" s="7"/>
    </row>
    <row r="186" spans="1:9">
      <c r="B186" t="s">
        <v>214</v>
      </c>
      <c r="D186" s="10">
        <f ca="1">2*D97+ D176*D185</f>
        <v>275.83501009558768</v>
      </c>
      <c r="E186" s="10"/>
      <c r="F186" s="10" t="s">
        <v>91</v>
      </c>
      <c r="G186" s="10"/>
      <c r="H186" s="10"/>
    </row>
    <row r="187" spans="1:9">
      <c r="D187" s="10"/>
      <c r="E187" s="10"/>
      <c r="F187" s="10"/>
      <c r="G187" s="10"/>
      <c r="H187" s="10"/>
    </row>
    <row r="188" spans="1:9" ht="31.35">
      <c r="B188" t="s">
        <v>90</v>
      </c>
      <c r="D188" s="10">
        <f ca="1">3.14*D148^2*D185*D158*16/D168</f>
        <v>158.65611258756743</v>
      </c>
      <c r="E188" s="10"/>
      <c r="F188" s="10" t="s">
        <v>213</v>
      </c>
      <c r="G188" s="10"/>
      <c r="H188" s="10"/>
      <c r="I188" s="24" t="s">
        <v>182</v>
      </c>
    </row>
    <row r="189" spans="1:9">
      <c r="D189" s="10"/>
      <c r="E189" s="10"/>
      <c r="F189" s="10"/>
      <c r="G189" s="10"/>
      <c r="H189" s="10"/>
    </row>
    <row r="190" spans="1:9">
      <c r="B190" t="s">
        <v>87</v>
      </c>
      <c r="D190" s="1">
        <f ca="1">D185*D171</f>
        <v>36.707219248917589</v>
      </c>
      <c r="E190" s="1"/>
      <c r="F190" s="7" t="s">
        <v>91</v>
      </c>
      <c r="G190" s="7"/>
      <c r="H190" s="7"/>
    </row>
    <row r="191" spans="1:9">
      <c r="B191" t="s">
        <v>88</v>
      </c>
      <c r="D191">
        <f ca="1">0.2*D186</f>
        <v>55.16700201911754</v>
      </c>
    </row>
    <row r="192" spans="1:9">
      <c r="B192" t="s">
        <v>89</v>
      </c>
      <c r="D192" s="1">
        <f>D92</f>
        <v>12.900671350292601</v>
      </c>
      <c r="E192" s="1"/>
    </row>
    <row r="193" spans="2:9">
      <c r="B193" t="s">
        <v>175</v>
      </c>
      <c r="D193" s="1">
        <f ca="1">D190-D191-D192</f>
        <v>-31.360454120492552</v>
      </c>
      <c r="E193" s="1"/>
    </row>
    <row r="195" spans="2:9">
      <c r="B195" s="2" t="s">
        <v>104</v>
      </c>
    </row>
    <row r="196" spans="2:9">
      <c r="B196" s="18" t="s">
        <v>100</v>
      </c>
      <c r="D196" s="1">
        <f>2*D91</f>
        <v>12.893041999822179</v>
      </c>
      <c r="E196" s="1"/>
      <c r="F196" s="7" t="s">
        <v>91</v>
      </c>
    </row>
    <row r="197" spans="2:9">
      <c r="B197" s="18" t="s">
        <v>101</v>
      </c>
      <c r="D197" s="1">
        <f>2*D88</f>
        <v>12.908300700763025</v>
      </c>
      <c r="E197" s="1"/>
      <c r="F197" s="7" t="s">
        <v>91</v>
      </c>
      <c r="I197" s="24" t="s">
        <v>132</v>
      </c>
    </row>
    <row r="198" spans="2:9" ht="16" thickBot="1">
      <c r="B198" s="18" t="s">
        <v>102</v>
      </c>
      <c r="D198" s="6">
        <f>2*D89</f>
        <v>0</v>
      </c>
      <c r="E198" s="36"/>
      <c r="F198" s="7" t="s">
        <v>91</v>
      </c>
    </row>
    <row r="199" spans="2:9" ht="16" thickTop="1">
      <c r="B199" s="21" t="s">
        <v>106</v>
      </c>
      <c r="D199" s="1">
        <f>SUM(D196:D198)</f>
        <v>25.801342700585202</v>
      </c>
      <c r="E199" s="1"/>
      <c r="F199" s="7" t="s">
        <v>91</v>
      </c>
    </row>
    <row r="200" spans="2:9">
      <c r="B200" s="18"/>
    </row>
    <row r="201" spans="2:9">
      <c r="B201" s="18"/>
    </row>
    <row r="202" spans="2:9">
      <c r="B202" s="20" t="s">
        <v>103</v>
      </c>
      <c r="D202" s="1">
        <f ca="1">D186+2*D97</f>
        <v>293.65659318532335</v>
      </c>
      <c r="E202" s="1"/>
      <c r="F202" s="7" t="s">
        <v>91</v>
      </c>
    </row>
    <row r="204" spans="2:9">
      <c r="B204" s="2" t="s">
        <v>105</v>
      </c>
      <c r="D204" s="1">
        <f ca="1">D106*(0.2*D202+D190+D90)</f>
        <v>91.255443142327792</v>
      </c>
      <c r="E204" s="1"/>
      <c r="F204" s="7" t="s">
        <v>91</v>
      </c>
    </row>
    <row r="205" spans="2:9">
      <c r="I205" s="24" t="s">
        <v>135</v>
      </c>
    </row>
    <row r="206" spans="2:9">
      <c r="B206" s="2" t="s">
        <v>107</v>
      </c>
      <c r="D206" s="1">
        <f ca="1">0.8*D202+ (1 - D106)*D204/D106</f>
        <v>245.06476823073956</v>
      </c>
      <c r="E206" s="1"/>
      <c r="F206" s="7" t="s">
        <v>91</v>
      </c>
    </row>
    <row r="208" spans="2:9">
      <c r="B208" t="s">
        <v>108</v>
      </c>
    </row>
    <row r="209" spans="1:8">
      <c r="B209" s="18" t="s">
        <v>109</v>
      </c>
      <c r="D209" s="1">
        <f>D196/0.6</f>
        <v>21.488403333036967</v>
      </c>
      <c r="E209" s="1"/>
      <c r="F209" s="7" t="s">
        <v>91</v>
      </c>
    </row>
    <row r="210" spans="1:8">
      <c r="B210" s="18" t="s">
        <v>110</v>
      </c>
      <c r="D210" s="1">
        <f>D197/0.6</f>
        <v>21.51383450127171</v>
      </c>
      <c r="E210" s="1"/>
      <c r="F210" s="7" t="s">
        <v>91</v>
      </c>
    </row>
    <row r="211" spans="1:8" ht="16" thickBot="1">
      <c r="B211" s="18" t="s">
        <v>111</v>
      </c>
      <c r="D211" s="6">
        <f>D198/0.9</f>
        <v>0</v>
      </c>
      <c r="E211" s="36"/>
      <c r="F211" s="7" t="s">
        <v>91</v>
      </c>
    </row>
    <row r="212" spans="1:8" ht="16" thickTop="1">
      <c r="D212" s="1">
        <f>SUM(D209:D211)</f>
        <v>43.002237834308673</v>
      </c>
      <c r="E212" s="1"/>
      <c r="F212" s="7" t="s">
        <v>91</v>
      </c>
    </row>
    <row r="214" spans="1:8">
      <c r="B214" s="19" t="s">
        <v>113</v>
      </c>
      <c r="D214" s="1">
        <f ca="1">D204-D212</f>
        <v>48.253205308019119</v>
      </c>
      <c r="E214" s="1"/>
      <c r="F214" s="7" t="s">
        <v>91</v>
      </c>
    </row>
    <row r="215" spans="1:8">
      <c r="A215" t="s">
        <v>118</v>
      </c>
    </row>
    <row r="216" spans="1:8">
      <c r="B216" t="s">
        <v>112</v>
      </c>
      <c r="D216" s="1">
        <f ca="1">D206*0.5</f>
        <v>122.53238411536978</v>
      </c>
      <c r="E216" s="1"/>
      <c r="F216" s="7" t="s">
        <v>91</v>
      </c>
    </row>
    <row r="218" spans="1:8">
      <c r="B218" s="2" t="s">
        <v>124</v>
      </c>
      <c r="D218" s="1">
        <f ca="1">D216+D214</f>
        <v>170.7855894233889</v>
      </c>
      <c r="E218" s="1"/>
      <c r="F218" s="7" t="s">
        <v>91</v>
      </c>
    </row>
    <row r="221" spans="1:8">
      <c r="B221" s="2" t="s">
        <v>123</v>
      </c>
    </row>
    <row r="222" spans="1:8">
      <c r="B222" t="s">
        <v>95</v>
      </c>
      <c r="D222" s="1">
        <f ca="1">D176/2/3.14/D148</f>
        <v>0.27167190319366818</v>
      </c>
      <c r="E222" s="1"/>
      <c r="F222" s="1"/>
      <c r="G222" s="1"/>
      <c r="H222" s="1"/>
    </row>
    <row r="223" spans="1:8">
      <c r="B223" t="s">
        <v>117</v>
      </c>
      <c r="D223" s="7">
        <f>D148+0.1</f>
        <v>1.3009611535381536</v>
      </c>
      <c r="E223" s="7"/>
    </row>
    <row r="224" spans="1:8">
      <c r="B224" t="s">
        <v>119</v>
      </c>
      <c r="D224">
        <v>0.6</v>
      </c>
    </row>
    <row r="225" spans="2:6">
      <c r="B225" t="s">
        <v>120</v>
      </c>
      <c r="D225" s="7">
        <f>D223+D224</f>
        <v>1.9009611535381534</v>
      </c>
      <c r="E225" s="7"/>
    </row>
    <row r="226" spans="2:6">
      <c r="B226" t="s">
        <v>177</v>
      </c>
      <c r="D226" s="7">
        <f xml:space="preserve"> D147*10000* D225/ 2</f>
        <v>12356.247497997998</v>
      </c>
      <c r="E226" s="7"/>
    </row>
    <row r="227" spans="2:6">
      <c r="B227" t="s">
        <v>179</v>
      </c>
      <c r="D227" s="7">
        <f>D139*D226</f>
        <v>1.2356247497997999</v>
      </c>
      <c r="E227" s="7"/>
      <c r="F227" t="s">
        <v>178</v>
      </c>
    </row>
    <row r="228" spans="2:6">
      <c r="B228" t="s">
        <v>184</v>
      </c>
      <c r="D228" s="7">
        <f ca="1">D185*D227</f>
        <v>155.59497855993152</v>
      </c>
      <c r="E228" s="7"/>
      <c r="F228" t="s">
        <v>183</v>
      </c>
    </row>
    <row r="230" spans="2:6">
      <c r="B230" t="s">
        <v>121</v>
      </c>
      <c r="D230">
        <f ca="1">3.14*(D225^2 - D223^2)*D185</f>
        <v>759.62747897106635</v>
      </c>
      <c r="F230" t="s">
        <v>122</v>
      </c>
    </row>
    <row r="232" spans="2:6">
      <c r="B232" t="s">
        <v>125</v>
      </c>
    </row>
    <row r="233" spans="2:6">
      <c r="B233" t="s">
        <v>126</v>
      </c>
      <c r="D233" s="1">
        <f>10*2*D91</f>
        <v>128.93041999822179</v>
      </c>
      <c r="E233" s="1"/>
    </row>
    <row r="234" spans="2:6">
      <c r="B234" t="s">
        <v>127</v>
      </c>
      <c r="D234" s="1">
        <f>1*2*D89</f>
        <v>0</v>
      </c>
      <c r="E234" s="1"/>
    </row>
    <row r="235" spans="2:6">
      <c r="B235" t="s">
        <v>128</v>
      </c>
      <c r="D235" s="1">
        <f>5*2*D88</f>
        <v>64.541503503815122</v>
      </c>
      <c r="E235" s="1"/>
    </row>
    <row r="237" spans="2:6">
      <c r="B237" t="s">
        <v>129</v>
      </c>
    </row>
    <row r="239" spans="2:6">
      <c r="B239" t="s">
        <v>130</v>
      </c>
    </row>
    <row r="241" spans="2:2">
      <c r="B24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Sheet1</vt:lpstr>
      <vt:lpstr>beta</vt:lpstr>
      <vt:lpstr>BM</vt:lpstr>
      <vt:lpstr>Bp</vt:lpstr>
      <vt:lpstr>E_nbi</vt:lpstr>
      <vt:lpstr>Einj</vt:lpstr>
      <vt:lpstr>Eion</vt:lpstr>
      <vt:lpstr>gamma_lorentz</vt:lpstr>
      <vt:lpstr>I_cool</vt:lpstr>
      <vt:lpstr>I_nbi</vt:lpstr>
      <vt:lpstr>lambda_ee</vt:lpstr>
      <vt:lpstr>lambda_ei</vt:lpstr>
      <vt:lpstr>lambda_ii</vt:lpstr>
      <vt:lpstr>lembda_ei</vt:lpstr>
      <vt:lpstr>mu</vt:lpstr>
      <vt:lpstr>n_20</vt:lpstr>
      <vt:lpstr>Pe_endloss</vt:lpstr>
      <vt:lpstr>Sheet1!Print_Area</vt:lpstr>
      <vt:lpstr>Psynch</vt:lpstr>
      <vt:lpstr>Rmirror</vt:lpstr>
      <vt:lpstr>sigma_v_dd</vt:lpstr>
      <vt:lpstr>sigma_v_dt</vt:lpstr>
      <vt:lpstr>tau_ee</vt:lpstr>
      <vt:lpstr>tau_ii</vt:lpstr>
      <vt:lpstr>tau_s</vt:lpstr>
      <vt:lpstr>Te</vt:lpstr>
      <vt:lpstr>Tic</vt:lpstr>
      <vt:lpstr>volume</vt:lpstr>
      <vt:lpstr>Zeff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B FOREST</dc:creator>
  <cp:lastModifiedBy>Kunal Sanwalka</cp:lastModifiedBy>
  <dcterms:created xsi:type="dcterms:W3CDTF">2019-12-24T21:59:35Z</dcterms:created>
  <dcterms:modified xsi:type="dcterms:W3CDTF">2022-08-10T19:57:26Z</dcterms:modified>
</cp:coreProperties>
</file>