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Sheet" sheetId="1" r:id="rId4"/>
    <sheet state="visible" name="Profit and Loss" sheetId="2" r:id="rId5"/>
    <sheet state="visible" name="Debt Equity Ratio" sheetId="3" r:id="rId6"/>
    <sheet state="visible" name="Cost of Equity Calculation" sheetId="4" r:id="rId7"/>
    <sheet state="visible" name="Leverage Calculation" sheetId="5" r:id="rId8"/>
    <sheet state="visible" name="Historical Opening Price Data M" sheetId="6" r:id="rId9"/>
    <sheet state="visible" name="Dividend Data M&amp;M" sheetId="7" r:id="rId10"/>
    <sheet state="visible" name="HPR Calculation for M&amp;M" sheetId="8" r:id="rId11"/>
    <sheet state="visible" name="Historical Opening Price Data N" sheetId="9" r:id="rId12"/>
    <sheet state="visible" name="HPR Calculation for Nifty50" sheetId="10" r:id="rId13"/>
    <sheet state="visible" name="Calculation of beta using Histo" sheetId="11" r:id="rId14"/>
    <sheet state="visible" name="Debt and Interest Calculation" sheetId="12" r:id="rId15"/>
    <sheet state="visible" name="Cost of Debt Calculation" sheetId="13" r:id="rId16"/>
    <sheet state="visible" name="WACC Calculation" sheetId="14" r:id="rId17"/>
  </sheets>
  <definedNames/>
  <calcPr/>
</workbook>
</file>

<file path=xl/sharedStrings.xml><?xml version="1.0" encoding="utf-8"?>
<sst xmlns="http://schemas.openxmlformats.org/spreadsheetml/2006/main" count="297" uniqueCount="179">
  <si>
    <t>Balance Sheet for Mahindra and Mahindra from FY 2017-2022</t>
  </si>
  <si>
    <t/>
  </si>
  <si>
    <t>Mar 2018</t>
  </si>
  <si>
    <t>Mar 2019</t>
  </si>
  <si>
    <t>Mar 2020</t>
  </si>
  <si>
    <t>Mar 2021</t>
  </si>
  <si>
    <t>Mar 2022</t>
  </si>
  <si>
    <t>Share Capital +</t>
  </si>
  <si>
    <t>595</t>
  </si>
  <si>
    <t>596</t>
  </si>
  <si>
    <t>597</t>
  </si>
  <si>
    <t>598</t>
  </si>
  <si>
    <t>Reserves</t>
  </si>
  <si>
    <t>29,699</t>
  </si>
  <si>
    <t>33,613</t>
  </si>
  <si>
    <t>33,871</t>
  </si>
  <si>
    <t>34,354</t>
  </si>
  <si>
    <t>38,363</t>
  </si>
  <si>
    <t>Borrowings +</t>
  </si>
  <si>
    <t>2,958</t>
  </si>
  <si>
    <t>2,571</t>
  </si>
  <si>
    <t>3,027</t>
  </si>
  <si>
    <t>7,786</t>
  </si>
  <si>
    <t>6,734</t>
  </si>
  <si>
    <t>Other Liabilities +</t>
  </si>
  <si>
    <t>14,195</t>
  </si>
  <si>
    <t>15,916</t>
  </si>
  <si>
    <t>13,007</t>
  </si>
  <si>
    <t>18,827</t>
  </si>
  <si>
    <t>21,436</t>
  </si>
  <si>
    <t>Total Liabilities</t>
  </si>
  <si>
    <t>47,447</t>
  </si>
  <si>
    <t>52,697</t>
  </si>
  <si>
    <t>50,502</t>
  </si>
  <si>
    <t>61,564</t>
  </si>
  <si>
    <t>67,130</t>
  </si>
  <si>
    <t>Fixed Assets +</t>
  </si>
  <si>
    <t>7,859</t>
  </si>
  <si>
    <t>10,082</t>
  </si>
  <si>
    <t>10,395</t>
  </si>
  <si>
    <t>12,011</t>
  </si>
  <si>
    <t>14,549</t>
  </si>
  <si>
    <t>CWIP</t>
  </si>
  <si>
    <t>3,129</t>
  </si>
  <si>
    <t>2,420</t>
  </si>
  <si>
    <t>4,009</t>
  </si>
  <si>
    <t>6,125</t>
  </si>
  <si>
    <t>5,018</t>
  </si>
  <si>
    <t>Investments</t>
  </si>
  <si>
    <t>20,583</t>
  </si>
  <si>
    <t>22,016</t>
  </si>
  <si>
    <t>19,938</t>
  </si>
  <si>
    <t>21,783</t>
  </si>
  <si>
    <t>25,110</t>
  </si>
  <si>
    <t>Other Assets +</t>
  </si>
  <si>
    <t>15,876</t>
  </si>
  <si>
    <t>18,179</t>
  </si>
  <si>
    <t>16,160</t>
  </si>
  <si>
    <t>21,645</t>
  </si>
  <si>
    <t>22,454</t>
  </si>
  <si>
    <t>Total Assets</t>
  </si>
  <si>
    <t>Profit and Loss Statement for Mahindra and Mahindra from FY 2017-2022</t>
  </si>
  <si>
    <t>Sales +</t>
  </si>
  <si>
    <t>Expenses +</t>
  </si>
  <si>
    <t>Operating Profit</t>
  </si>
  <si>
    <t>OPM %</t>
  </si>
  <si>
    <t>Other Income +</t>
  </si>
  <si>
    <t>Interest</t>
  </si>
  <si>
    <t>Depreciation</t>
  </si>
  <si>
    <t>Profit before tax</t>
  </si>
  <si>
    <t>Tax %</t>
  </si>
  <si>
    <t>Net Profit</t>
  </si>
  <si>
    <t>EPS in Rs</t>
  </si>
  <si>
    <t>Dividend Payout %</t>
  </si>
  <si>
    <t>Debt Equity Ratio from 2017-2022</t>
  </si>
  <si>
    <t>2017-18</t>
  </si>
  <si>
    <t>2018-19</t>
  </si>
  <si>
    <t>2019-20</t>
  </si>
  <si>
    <t>2020-21</t>
  </si>
  <si>
    <t>2021-22</t>
  </si>
  <si>
    <r>
      <rPr/>
      <t xml:space="preserve">Link : </t>
    </r>
    <r>
      <rPr>
        <color rgb="FF1155CC"/>
        <u/>
      </rPr>
      <t>https://ycharts.com/companies/MAHMF/debt_equity_ratio</t>
    </r>
  </si>
  <si>
    <t>Cost of Equity from 2017-2022</t>
  </si>
  <si>
    <t>Risk Free Rate [Rf]</t>
  </si>
  <si>
    <t>Expected return on the market portfolio [E(Rm)]</t>
  </si>
  <si>
    <t>Beta [β]</t>
  </si>
  <si>
    <t>Cost of Equity [Re]</t>
  </si>
  <si>
    <t>Formula = Re = Rf + β[E(Rm) – Rf ]</t>
  </si>
  <si>
    <r>
      <rPr/>
      <t xml:space="preserve">Link to Calculate Beta : </t>
    </r>
    <r>
      <rPr>
        <color rgb="FF1155CC"/>
        <u/>
      </rPr>
      <t>https://www.buyupside.com/calculators/beta.php</t>
    </r>
  </si>
  <si>
    <t>Leverage Calculation from 2017-2022</t>
  </si>
  <si>
    <t>2018</t>
  </si>
  <si>
    <t>2019</t>
  </si>
  <si>
    <t>2020</t>
  </si>
  <si>
    <t>2021</t>
  </si>
  <si>
    <t>2022</t>
  </si>
  <si>
    <t xml:space="preserve">DOL = Contribution / EBIT </t>
  </si>
  <si>
    <t>Revenue</t>
  </si>
  <si>
    <t xml:space="preserve">DFL = EBIT/ EBT </t>
  </si>
  <si>
    <t>VC</t>
  </si>
  <si>
    <t>DCL = DOL x DFL</t>
  </si>
  <si>
    <t>Contribution</t>
  </si>
  <si>
    <t>FC</t>
  </si>
  <si>
    <t>EBIT</t>
  </si>
  <si>
    <t>EBT</t>
  </si>
  <si>
    <t>DOL</t>
  </si>
  <si>
    <t>DFL</t>
  </si>
  <si>
    <t>DCL</t>
  </si>
  <si>
    <t>OVERALL</t>
  </si>
  <si>
    <t>2018-2022</t>
  </si>
  <si>
    <t>Mahindra and Mahindra Historical Data</t>
  </si>
  <si>
    <t xml:space="preserve">Year </t>
  </si>
  <si>
    <t xml:space="preserve">Opening Price (Rs.) </t>
  </si>
  <si>
    <t>Dividend (Rs.)</t>
  </si>
  <si>
    <t>https://www.moneycontrol.com/stocks/hist_stock_result.php?ex=&amp;sc_id=MM&amp;mycomp=Mahindra%20and%20Mahindra</t>
  </si>
  <si>
    <t>Dividend for Mahindra and Mahindra</t>
  </si>
  <si>
    <t>Announcement Date</t>
  </si>
  <si>
    <t>Ex-Date</t>
  </si>
  <si>
    <t>Dividend Type</t>
  </si>
  <si>
    <t>Dividend (%)</t>
  </si>
  <si>
    <t>Dividend (Rs)</t>
  </si>
  <si>
    <t>30-05-2017</t>
  </si>
  <si>
    <t>13-07- 2017</t>
  </si>
  <si>
    <t>Final</t>
  </si>
  <si>
    <t>29-05-2018</t>
  </si>
  <si>
    <t>12-07- 2018</t>
  </si>
  <si>
    <t>29-05-2019</t>
  </si>
  <si>
    <t>18-07- 2019</t>
  </si>
  <si>
    <t>16-07- 2020</t>
  </si>
  <si>
    <t>28-05-2021</t>
  </si>
  <si>
    <t>15-07- 2021</t>
  </si>
  <si>
    <t>30-05-2022</t>
  </si>
  <si>
    <t>14-07- 2022</t>
  </si>
  <si>
    <t>https://www.moneycontrol.com/company-facts/mahindramahindra/dividends/MM</t>
  </si>
  <si>
    <t>Holding Period Return Calcualation for Mahindra and Mahindra</t>
  </si>
  <si>
    <t>Time Period</t>
  </si>
  <si>
    <t>HPR</t>
  </si>
  <si>
    <t>April 2017 - April 2018</t>
  </si>
  <si>
    <t>April 2018 - April 2019</t>
  </si>
  <si>
    <t>April 2019 - April 2020</t>
  </si>
  <si>
    <t>April 2020 - April 2021</t>
  </si>
  <si>
    <t>April 2021 - April 2022</t>
  </si>
  <si>
    <t>HPR = ((Dividend + (Ending Price - Opening Price))/Opening Price)*100</t>
  </si>
  <si>
    <t>NIFTY HISTORICAL DATA</t>
  </si>
  <si>
    <t>April 2017 - April 2019</t>
  </si>
  <si>
    <t>April 2017 - April 2020</t>
  </si>
  <si>
    <t>April 2017 - April 2021</t>
  </si>
  <si>
    <t>April 2017 - April 2022</t>
  </si>
  <si>
    <t>Since there is no dividend we will keep it as 0</t>
  </si>
  <si>
    <t>Calculation of beta using Historical Data</t>
  </si>
  <si>
    <t>Year</t>
  </si>
  <si>
    <t>Rjt</t>
  </si>
  <si>
    <t>Rmt</t>
  </si>
  <si>
    <t>Rjt-Rj(bar)</t>
  </si>
  <si>
    <t>Rmt-Rm(bar)</t>
  </si>
  <si>
    <t>(Rjt-Rj(bar))(Rmt-Rm(bar))</t>
  </si>
  <si>
    <t>(Rmt-Rm(bar)^2</t>
  </si>
  <si>
    <t>Summation of Rjt</t>
  </si>
  <si>
    <t>Cov(Rjt,Rmt)</t>
  </si>
  <si>
    <t>Rj(bar)</t>
  </si>
  <si>
    <t>sigma^2</t>
  </si>
  <si>
    <t>Summation of Rmt</t>
  </si>
  <si>
    <t>Rm(bar)</t>
  </si>
  <si>
    <t>Beta = Cov(Rjt,Rmt)/sigma^2</t>
  </si>
  <si>
    <t>Summation of (Rjt-Rj(bar))(Rmt-Rm(bar))</t>
  </si>
  <si>
    <t>Summation of (Rmt-Rm(bar)^2</t>
  </si>
  <si>
    <t>Debt calcuation which can be calcuated as borrowings from balance sheet</t>
  </si>
  <si>
    <t>Debt</t>
  </si>
  <si>
    <t>Interest calcuation which can be calcuated as interest from profit and loss statememts</t>
  </si>
  <si>
    <t>Cost of Debt from 2017-2022</t>
  </si>
  <si>
    <t>Rd</t>
  </si>
  <si>
    <t>Rd = (Interest/Debt)*100*(1-0.35)</t>
  </si>
  <si>
    <t>WACC from 2017-2022</t>
  </si>
  <si>
    <t>Proportion of equity [We]</t>
  </si>
  <si>
    <t>Cost of equity [Re]</t>
  </si>
  <si>
    <t>Proportion of debt [Wd]</t>
  </si>
  <si>
    <t>Cost of Debt [Rd]</t>
  </si>
  <si>
    <t>Tax Rate [t]</t>
  </si>
  <si>
    <t>0.35</t>
  </si>
  <si>
    <t>WACC</t>
  </si>
  <si>
    <t>WACC = WeRe + WdRd (1 – t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</si>
</sst>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mm-dd-yyyy"/>
    <numFmt numFmtId="166" formatCode="0.000"/>
  </numFmts>
  <fonts count="15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sz val="12.0"/>
      <color rgb="FF1A1A1A"/>
      <name val="Calibri"/>
      <scheme val="minor"/>
    </font>
    <font>
      <u/>
      <color rgb="FF0000FF"/>
    </font>
    <font>
      <sz val="11.0"/>
      <color rgb="FFF7981D"/>
      <name val="Inconsolata"/>
    </font>
    <font>
      <sz val="12.0"/>
      <color rgb="FF000000"/>
      <name val="Calibri"/>
      <scheme val="minor"/>
    </font>
    <font>
      <sz val="12.0"/>
      <color theme="1"/>
      <name val="Ubuntu"/>
    </font>
    <font>
      <u/>
      <sz val="12.0"/>
      <color rgb="FF0000FF"/>
    </font>
    <font>
      <sz val="12.0"/>
      <color rgb="FF000000"/>
      <name val="Ubuntu"/>
    </font>
    <font>
      <b/>
      <i/>
      <sz val="12.0"/>
      <color theme="1"/>
      <name val="Ubuntu"/>
    </font>
    <font>
      <sz val="11.0"/>
      <color rgb="FF222222"/>
      <name val="&quot;Google Sans&quot;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EEEEE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3" numFmtId="0" xfId="0" applyFont="1"/>
    <xf borderId="2" fillId="0" fontId="3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left" readingOrder="0"/>
    </xf>
    <xf borderId="1" fillId="2" fontId="5" numFmtId="0" xfId="0" applyAlignment="1" applyBorder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1" fillId="0" fontId="3" numFmtId="0" xfId="0" applyAlignment="1" applyBorder="1" applyFont="1">
      <alignment shrinkToFit="0" wrapText="1"/>
    </xf>
    <xf borderId="1" fillId="0" fontId="3" numFmtId="10" xfId="0" applyBorder="1" applyFont="1" applyNumberFormat="1"/>
    <xf borderId="0" fillId="2" fontId="7" numFmtId="0" xfId="0" applyFont="1"/>
    <xf borderId="1" fillId="0" fontId="3" numFmtId="0" xfId="0" applyBorder="1" applyFont="1"/>
    <xf borderId="2" fillId="0" fontId="0" numFmtId="4" xfId="0" applyAlignment="1" applyBorder="1" applyFont="1" applyNumberFormat="1">
      <alignment horizontal="center" readingOrder="0" shrinkToFit="0" wrapText="0"/>
    </xf>
    <xf borderId="0" fillId="0" fontId="0" numFmtId="4" xfId="0" applyFont="1" applyNumberFormat="1"/>
    <xf borderId="1" fillId="0" fontId="0" numFmtId="4" xfId="0" applyBorder="1" applyFont="1" applyNumberFormat="1"/>
    <xf borderId="1" fillId="0" fontId="0" numFmtId="49" xfId="0" applyAlignment="1" applyBorder="1" applyFont="1" applyNumberFormat="1">
      <alignment readingOrder="0"/>
    </xf>
    <xf borderId="0" fillId="0" fontId="0" numFmtId="4" xfId="0" applyAlignment="1" applyFont="1" applyNumberFormat="1">
      <alignment readingOrder="0"/>
    </xf>
    <xf borderId="1" fillId="0" fontId="0" numFmtId="4" xfId="0" applyAlignment="1" applyBorder="1" applyFont="1" applyNumberFormat="1">
      <alignment readingOrder="0"/>
    </xf>
    <xf borderId="1" fillId="0" fontId="0" numFmtId="4" xfId="0" applyAlignment="1" applyBorder="1" applyFont="1" applyNumberFormat="1">
      <alignment horizontal="right" readingOrder="0"/>
    </xf>
    <xf borderId="0" fillId="2" fontId="8" numFmtId="4" xfId="0" applyAlignment="1" applyFont="1" applyNumberFormat="1">
      <alignment horizontal="left" readingOrder="0"/>
    </xf>
    <xf borderId="0" fillId="2" fontId="8" numFmtId="4" xfId="0" applyAlignment="1" applyFont="1" applyNumberFormat="1">
      <alignment readingOrder="0"/>
    </xf>
    <xf borderId="0" fillId="0" fontId="0" numFmtId="0" xfId="0" applyFont="1"/>
    <xf borderId="1" fillId="0" fontId="8" numFmtId="4" xfId="0" applyAlignment="1" applyBorder="1" applyFont="1" applyNumberFormat="1">
      <alignment horizontal="right" readingOrder="0"/>
    </xf>
    <xf borderId="5" fillId="0" fontId="8" numFmtId="4" xfId="0" applyAlignment="1" applyBorder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/>
    </xf>
    <xf borderId="1" fillId="2" fontId="9" numFmtId="0" xfId="0" applyAlignment="1" applyBorder="1" applyFont="1">
      <alignment horizontal="right" readingOrder="0"/>
    </xf>
    <xf borderId="1" fillId="0" fontId="9" numFmtId="0" xfId="0" applyBorder="1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1" fillId="0" fontId="9" numFmtId="165" xfId="0" applyAlignment="1" applyBorder="1" applyFont="1" applyNumberFormat="1">
      <alignment horizontal="left" readingOrder="0" vertical="top"/>
    </xf>
    <xf borderId="1" fillId="0" fontId="11" numFmtId="0" xfId="0" applyAlignment="1" applyBorder="1" applyFont="1">
      <alignment horizontal="left" readingOrder="0" shrinkToFit="0" wrapText="1"/>
    </xf>
    <xf borderId="1" fillId="0" fontId="9" numFmtId="2" xfId="0" applyBorder="1" applyFont="1" applyNumberFormat="1"/>
    <xf borderId="1" fillId="0" fontId="1" numFmtId="4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4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166" xfId="0" applyBorder="1" applyFont="1" applyNumberFormat="1"/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0" fillId="0" fontId="1" numFmtId="166" xfId="0" applyFont="1" applyNumberFormat="1"/>
    <xf borderId="1" fillId="2" fontId="5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1" fillId="0" fontId="3" numFmtId="49" xfId="0" applyAlignment="1" applyBorder="1" applyFont="1" applyNumberFormat="1">
      <alignment horizontal="right" readingOrder="0"/>
    </xf>
    <xf borderId="1" fillId="0" fontId="3" numFmtId="10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166" xfId="0" applyAlignment="1" applyBorder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charts.com/companies/MAHMF/debt_equity_rat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yupside.com/calculators/beta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control.com/stocks/hist_stock_result.php?ex=&amp;sc_id=MM&amp;mycomp=Mahindra%20and%20Mahindr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control.com/company-facts/mahindramahindra/dividends/M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44"/>
    <col customWidth="1" min="2" max="25" width="8.56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ht="15.75" customHeight="1">
      <c r="A4" s="2" t="s">
        <v>7</v>
      </c>
      <c r="B4" s="2" t="s">
        <v>8</v>
      </c>
      <c r="C4" s="2" t="s">
        <v>9</v>
      </c>
      <c r="D4" s="2" t="s">
        <v>10</v>
      </c>
      <c r="E4" s="2" t="s">
        <v>10</v>
      </c>
      <c r="F4" s="2" t="s">
        <v>11</v>
      </c>
    </row>
    <row r="5" ht="15.75" customHeight="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ht="15.75" customHeight="1">
      <c r="A6" s="2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23</v>
      </c>
    </row>
    <row r="7" ht="15.75" customHeight="1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</row>
    <row r="8" ht="15.75" customHeight="1">
      <c r="A8" s="3" t="s">
        <v>30</v>
      </c>
      <c r="B8" s="3" t="s">
        <v>31</v>
      </c>
      <c r="C8" s="3" t="s">
        <v>32</v>
      </c>
      <c r="D8" s="3" t="s">
        <v>33</v>
      </c>
      <c r="E8" s="3" t="s">
        <v>34</v>
      </c>
      <c r="F8" s="3" t="s">
        <v>35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41</v>
      </c>
    </row>
    <row r="10" ht="15.75" customHeight="1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</row>
    <row r="11" ht="15.75" customHeight="1">
      <c r="A11" s="2" t="s">
        <v>48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53</v>
      </c>
    </row>
    <row r="12" ht="15.75" customHeight="1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59</v>
      </c>
    </row>
    <row r="13" ht="15.75" customHeight="1">
      <c r="A13" s="3" t="s">
        <v>60</v>
      </c>
      <c r="B13" s="3" t="s">
        <v>31</v>
      </c>
      <c r="C13" s="3" t="s">
        <v>32</v>
      </c>
      <c r="D13" s="3" t="s">
        <v>33</v>
      </c>
      <c r="E13" s="3" t="s">
        <v>34</v>
      </c>
      <c r="F13" s="3" t="s">
        <v>35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22"/>
    <col customWidth="1" min="2" max="2" width="10.78"/>
    <col customWidth="1" min="3" max="26" width="19.22"/>
  </cols>
  <sheetData>
    <row r="1">
      <c r="A1" s="32" t="s">
        <v>132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133</v>
      </c>
      <c r="B3" s="35" t="s">
        <v>134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5" t="s">
        <v>135</v>
      </c>
      <c r="B4" s="45">
        <f>(('Historical Opening Price Data N'!B5-'Historical Opening Price Data N'!B4)/'Historical Opening Price Data N'!B4)*100</f>
        <v>10.09749908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142</v>
      </c>
      <c r="B5" s="45">
        <f>(('Historical Opening Price Data N'!B6-'Historical Opening Price Data N'!B5)/'Historical Opening Price Data N'!B5)*100</f>
        <v>14.90939896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5" t="s">
        <v>143</v>
      </c>
      <c r="B6" s="45">
        <f>(('Historical Opening Price Data N'!B7-'Historical Opening Price Data N'!B6)/'Historical Opening Price Data N'!B6)*100</f>
        <v>-26.41274903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144</v>
      </c>
      <c r="B7" s="45">
        <f>(('Historical Opening Price Data N'!B8-'Historical Opening Price Data N'!B7)/'Historical Opening Price Data N'!B7)*100</f>
        <v>72.39314547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5" t="s">
        <v>145</v>
      </c>
      <c r="B8" s="45">
        <f>(('Historical Opening Price Data N'!B9-'Historical Opening Price Data N'!B8)/'Historical Opening Price Data N'!B8)*100</f>
        <v>17.82963023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2" t="s">
        <v>140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7" t="s">
        <v>146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78"/>
    <col customWidth="1" min="6" max="6" width="20.0"/>
  </cols>
  <sheetData>
    <row r="1">
      <c r="A1" s="48" t="s">
        <v>147</v>
      </c>
    </row>
    <row r="3">
      <c r="A3" s="49" t="s">
        <v>148</v>
      </c>
      <c r="B3" s="49" t="s">
        <v>149</v>
      </c>
      <c r="C3" s="49" t="s">
        <v>150</v>
      </c>
      <c r="D3" s="49" t="s">
        <v>151</v>
      </c>
      <c r="E3" s="49" t="s">
        <v>152</v>
      </c>
      <c r="F3" s="49" t="s">
        <v>153</v>
      </c>
      <c r="G3" s="50" t="s">
        <v>154</v>
      </c>
    </row>
    <row r="4">
      <c r="A4" s="35" t="s">
        <v>135</v>
      </c>
      <c r="B4" s="51">
        <f>'HPR Calculation for M&amp;M'!B4</f>
        <v>29.11392405</v>
      </c>
      <c r="C4" s="51">
        <f>'HPR Calculation for Nifty50'!B4</f>
        <v>10.09749908</v>
      </c>
      <c r="D4" s="51">
        <f t="shared" ref="D4:D8" si="1">B4-$B$11</f>
        <v>17.45634448</v>
      </c>
      <c r="E4" s="51">
        <f t="shared" ref="E4:E8" si="2">D4-$B$14</f>
        <v>-0.307040459</v>
      </c>
      <c r="F4" s="51">
        <f t="shared" ref="F4:F8" si="3">D4*E4</f>
        <v>-5.359804023</v>
      </c>
      <c r="G4" s="52">
        <f t="shared" ref="G4:G8" si="4">E4*E4</f>
        <v>0.09427384348</v>
      </c>
    </row>
    <row r="5">
      <c r="A5" s="35" t="s">
        <v>142</v>
      </c>
      <c r="B5" s="51">
        <f>'HPR Calculation for M&amp;M'!B5</f>
        <v>8.058510638</v>
      </c>
      <c r="C5" s="51">
        <f>'HPR Calculation for Nifty50'!B5</f>
        <v>14.90939896</v>
      </c>
      <c r="D5" s="51">
        <f t="shared" si="1"/>
        <v>-3.59906893</v>
      </c>
      <c r="E5" s="51">
        <f t="shared" si="2"/>
        <v>-21.36245387</v>
      </c>
      <c r="F5" s="51">
        <f t="shared" si="3"/>
        <v>76.88494399</v>
      </c>
      <c r="G5" s="52">
        <f t="shared" si="4"/>
        <v>456.3544354</v>
      </c>
    </row>
    <row r="6">
      <c r="A6" s="35" t="s">
        <v>143</v>
      </c>
      <c r="B6" s="51">
        <f>'HPR Calculation for M&amp;M'!B6</f>
        <v>-32.56738293</v>
      </c>
      <c r="C6" s="51">
        <f>'HPR Calculation for Nifty50'!B6</f>
        <v>-26.41274903</v>
      </c>
      <c r="D6" s="51">
        <f t="shared" si="1"/>
        <v>-44.2249625</v>
      </c>
      <c r="E6" s="51">
        <f t="shared" si="2"/>
        <v>-61.98834744</v>
      </c>
      <c r="F6" s="51">
        <f t="shared" si="3"/>
        <v>2741.432341</v>
      </c>
      <c r="G6" s="52">
        <f t="shared" si="4"/>
        <v>3842.555219</v>
      </c>
    </row>
    <row r="7">
      <c r="A7" s="35" t="s">
        <v>144</v>
      </c>
      <c r="B7" s="51">
        <f>'HPR Calculation for M&amp;M'!B7</f>
        <v>36.29303892</v>
      </c>
      <c r="C7" s="51">
        <f>'HPR Calculation for Nifty50'!B7</f>
        <v>72.39314547</v>
      </c>
      <c r="D7" s="51">
        <f t="shared" si="1"/>
        <v>24.63545935</v>
      </c>
      <c r="E7" s="51">
        <f t="shared" si="2"/>
        <v>6.872074412</v>
      </c>
      <c r="F7" s="51">
        <f t="shared" si="3"/>
        <v>169.2967099</v>
      </c>
      <c r="G7" s="52">
        <f t="shared" si="4"/>
        <v>47.22540673</v>
      </c>
    </row>
    <row r="8">
      <c r="A8" s="35" t="s">
        <v>145</v>
      </c>
      <c r="B8" s="51">
        <f>'HPR Calculation for M&amp;M'!B8</f>
        <v>17.38980716</v>
      </c>
      <c r="C8" s="51">
        <f>'HPR Calculation for Nifty50'!B8</f>
        <v>17.82963023</v>
      </c>
      <c r="D8" s="51">
        <f t="shared" si="1"/>
        <v>5.732227595</v>
      </c>
      <c r="E8" s="51">
        <f t="shared" si="2"/>
        <v>-12.03115735</v>
      </c>
      <c r="F8" s="51">
        <f t="shared" si="3"/>
        <v>-68.96533214</v>
      </c>
      <c r="G8" s="52">
        <f t="shared" si="4"/>
        <v>144.7487471</v>
      </c>
    </row>
    <row r="10">
      <c r="A10" s="49" t="s">
        <v>155</v>
      </c>
      <c r="B10" s="51">
        <f>SUM(B4:B8)</f>
        <v>58.28789784</v>
      </c>
      <c r="D10" s="49" t="s">
        <v>156</v>
      </c>
      <c r="E10" s="2">
        <f>B16/4</f>
        <v>728.3222147</v>
      </c>
      <c r="L10" s="53"/>
    </row>
    <row r="11">
      <c r="A11" s="49" t="s">
        <v>157</v>
      </c>
      <c r="B11" s="51">
        <f>B10/5</f>
        <v>11.65757957</v>
      </c>
      <c r="D11" s="2"/>
      <c r="E11" s="2"/>
    </row>
    <row r="12">
      <c r="A12" s="2"/>
      <c r="B12" s="2"/>
      <c r="D12" s="49" t="s">
        <v>158</v>
      </c>
      <c r="E12" s="2">
        <f>B18/4</f>
        <v>1122.74452</v>
      </c>
    </row>
    <row r="13">
      <c r="A13" s="49" t="s">
        <v>159</v>
      </c>
      <c r="B13" s="51">
        <f>SUM(C4:C8)</f>
        <v>88.81692471</v>
      </c>
      <c r="D13" s="2"/>
      <c r="E13" s="2"/>
    </row>
    <row r="14">
      <c r="A14" s="49" t="s">
        <v>160</v>
      </c>
      <c r="B14" s="51">
        <f>B13/5</f>
        <v>17.76338494</v>
      </c>
      <c r="D14" s="54" t="s">
        <v>161</v>
      </c>
      <c r="E14" s="2">
        <f>E10/E12</f>
        <v>0.64869808</v>
      </c>
    </row>
    <row r="16">
      <c r="A16" s="54" t="s">
        <v>162</v>
      </c>
      <c r="B16" s="51">
        <f>SUM(F4:F8)</f>
        <v>2913.288859</v>
      </c>
    </row>
    <row r="18">
      <c r="A18" s="10" t="s">
        <v>163</v>
      </c>
      <c r="B18" s="55">
        <f>SUM(G4:G8)</f>
        <v>4490.978082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44"/>
  </cols>
  <sheetData>
    <row r="1">
      <c r="A1" s="10" t="s">
        <v>164</v>
      </c>
    </row>
    <row r="3">
      <c r="A3" s="49" t="s">
        <v>148</v>
      </c>
      <c r="B3" s="49" t="s">
        <v>165</v>
      </c>
    </row>
    <row r="4">
      <c r="A4" s="35" t="s">
        <v>135</v>
      </c>
      <c r="B4" s="2" t="s">
        <v>19</v>
      </c>
    </row>
    <row r="5">
      <c r="A5" s="35" t="s">
        <v>142</v>
      </c>
      <c r="B5" s="2" t="s">
        <v>20</v>
      </c>
    </row>
    <row r="6">
      <c r="A6" s="35" t="s">
        <v>143</v>
      </c>
      <c r="B6" s="2" t="s">
        <v>21</v>
      </c>
    </row>
    <row r="7">
      <c r="A7" s="35" t="s">
        <v>144</v>
      </c>
      <c r="B7" s="2" t="s">
        <v>22</v>
      </c>
    </row>
    <row r="8">
      <c r="A8" s="35" t="s">
        <v>145</v>
      </c>
      <c r="B8" s="2" t="s">
        <v>23</v>
      </c>
    </row>
    <row r="10">
      <c r="A10" s="10" t="s">
        <v>166</v>
      </c>
    </row>
    <row r="12">
      <c r="A12" s="49" t="s">
        <v>148</v>
      </c>
      <c r="B12" s="49" t="s">
        <v>67</v>
      </c>
    </row>
    <row r="13">
      <c r="A13" s="35" t="s">
        <v>135</v>
      </c>
      <c r="B13" s="2">
        <v>112.0</v>
      </c>
    </row>
    <row r="14">
      <c r="A14" s="35" t="s">
        <v>142</v>
      </c>
      <c r="B14" s="2">
        <v>113.0</v>
      </c>
    </row>
    <row r="15">
      <c r="A15" s="35" t="s">
        <v>143</v>
      </c>
      <c r="B15" s="2">
        <v>113.0</v>
      </c>
    </row>
    <row r="16">
      <c r="A16" s="35" t="s">
        <v>144</v>
      </c>
      <c r="B16" s="2">
        <v>396.0</v>
      </c>
    </row>
    <row r="17">
      <c r="A17" s="35" t="s">
        <v>145</v>
      </c>
      <c r="B17" s="2">
        <v>223.0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  <col customWidth="1" min="2" max="3" width="8.56"/>
    <col customWidth="1" min="4" max="4" width="20.22"/>
    <col customWidth="1" min="5" max="6" width="8.56"/>
    <col customWidth="1" min="7" max="7" width="20.22"/>
    <col customWidth="1" min="8" max="26" width="8.56"/>
  </cols>
  <sheetData>
    <row r="1" ht="15.75" customHeight="1">
      <c r="A1" s="6" t="s">
        <v>167</v>
      </c>
      <c r="B1" s="7"/>
      <c r="C1" s="7"/>
      <c r="D1" s="7"/>
      <c r="E1" s="7"/>
      <c r="F1" s="7"/>
      <c r="G1" s="7"/>
      <c r="H1" s="8"/>
    </row>
    <row r="2" ht="15.75" customHeight="1">
      <c r="A2" s="14"/>
      <c r="B2" s="14"/>
      <c r="D2" s="14"/>
      <c r="E2" s="14"/>
      <c r="G2" s="14"/>
      <c r="H2" s="14"/>
    </row>
    <row r="3" ht="15.75" customHeight="1">
      <c r="A3" s="49" t="s">
        <v>148</v>
      </c>
      <c r="B3" s="49" t="s">
        <v>168</v>
      </c>
    </row>
    <row r="4" ht="15.75" customHeight="1">
      <c r="A4" s="35" t="s">
        <v>135</v>
      </c>
      <c r="B4" s="52">
        <f>('Debt and Interest Calculation'!B13/'Debt and Interest Calculation'!B4)*100*0.65</f>
        <v>2.46112238</v>
      </c>
    </row>
    <row r="5" ht="15.75" customHeight="1">
      <c r="A5" s="35" t="s">
        <v>142</v>
      </c>
      <c r="B5" s="52">
        <f>('Debt and Interest Calculation'!B14/'Debt and Interest Calculation'!B5)*100*0.65</f>
        <v>2.856865033</v>
      </c>
    </row>
    <row r="6" ht="15.75" customHeight="1">
      <c r="A6" s="35" t="s">
        <v>143</v>
      </c>
      <c r="B6" s="52">
        <f>('Debt and Interest Calculation'!B15/'Debt and Interest Calculation'!B6)*100*0.65</f>
        <v>2.426494879</v>
      </c>
    </row>
    <row r="7" ht="15.75" customHeight="1">
      <c r="A7" s="35" t="s">
        <v>144</v>
      </c>
      <c r="B7" s="52">
        <f>('Debt and Interest Calculation'!B16/'Debt and Interest Calculation'!B7)*100*0.65</f>
        <v>3.305933727</v>
      </c>
    </row>
    <row r="8" ht="15.75" customHeight="1">
      <c r="A8" s="35" t="s">
        <v>145</v>
      </c>
      <c r="B8" s="52">
        <f>('Debt and Interest Calculation'!B17/'Debt and Interest Calculation'!B8)*100*0.65</f>
        <v>2.152509653</v>
      </c>
    </row>
    <row r="9" ht="15.75" customHeight="1"/>
    <row r="10" ht="15.75" customHeight="1"/>
    <row r="11" ht="15.75" customHeight="1">
      <c r="A11" s="1" t="s">
        <v>169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:H1"/>
    <mergeCell ref="A11:H1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  <col customWidth="1" min="2" max="2" width="13.0"/>
    <col customWidth="1" min="3" max="3" width="8.56"/>
    <col customWidth="1" min="4" max="4" width="20.22"/>
    <col customWidth="1" min="5" max="5" width="13.0"/>
    <col customWidth="1" min="6" max="6" width="8.56"/>
    <col customWidth="1" min="7" max="7" width="20.22"/>
    <col customWidth="1" min="8" max="8" width="12.67"/>
    <col customWidth="1" min="9" max="26" width="8.56"/>
  </cols>
  <sheetData>
    <row r="1" ht="15.75" customHeight="1">
      <c r="A1" s="6" t="s">
        <v>170</v>
      </c>
      <c r="B1" s="7"/>
      <c r="C1" s="7"/>
      <c r="D1" s="7"/>
      <c r="E1" s="7"/>
      <c r="F1" s="7"/>
      <c r="G1" s="7"/>
      <c r="H1" s="8"/>
    </row>
    <row r="2" ht="15.75" customHeight="1">
      <c r="A2" s="14"/>
      <c r="B2" s="14"/>
      <c r="D2" s="14"/>
      <c r="E2" s="14"/>
      <c r="G2" s="14"/>
      <c r="H2" s="14"/>
    </row>
    <row r="3" ht="15.75" customHeight="1">
      <c r="A3" s="15" t="s">
        <v>75</v>
      </c>
      <c r="B3" s="8"/>
      <c r="D3" s="15" t="s">
        <v>76</v>
      </c>
      <c r="E3" s="8"/>
      <c r="G3" s="15" t="s">
        <v>77</v>
      </c>
      <c r="H3" s="8"/>
    </row>
    <row r="4" ht="15.75" customHeight="1">
      <c r="A4" s="49" t="s">
        <v>171</v>
      </c>
      <c r="B4" s="56">
        <f>1.52/2.52</f>
        <v>0.6031746032</v>
      </c>
      <c r="D4" s="49" t="s">
        <v>171</v>
      </c>
      <c r="E4" s="57">
        <f>'Debt Equity Ratio'!B4/(1+'Debt Equity Ratio'!B4)</f>
        <v>0.6392496392</v>
      </c>
      <c r="G4" s="49" t="s">
        <v>171</v>
      </c>
      <c r="H4" s="57">
        <f>'Debt Equity Ratio'!C4/(1+'Debt Equity Ratio'!C4)</f>
        <v>0.6662216288</v>
      </c>
    </row>
    <row r="5" ht="15.75" customHeight="1">
      <c r="A5" s="49" t="s">
        <v>172</v>
      </c>
      <c r="B5" s="58">
        <f>'Cost of Equity Calculation'!B7</f>
        <v>0.05051010347</v>
      </c>
      <c r="D5" s="49" t="s">
        <v>172</v>
      </c>
      <c r="E5" s="59">
        <f>'Cost of Equity Calculation'!E7</f>
        <v>0.05498612022</v>
      </c>
      <c r="G5" s="49" t="s">
        <v>172</v>
      </c>
      <c r="H5" s="59">
        <f>'Cost of Equity Calculation'!H7</f>
        <v>0.01087465078</v>
      </c>
    </row>
    <row r="6" ht="15.75" customHeight="1">
      <c r="A6" s="49" t="s">
        <v>173</v>
      </c>
      <c r="B6" s="58">
        <f>1/2.52</f>
        <v>0.3968253968</v>
      </c>
      <c r="D6" s="49" t="s">
        <v>173</v>
      </c>
      <c r="E6" s="57">
        <f>1/(1+'Debt Equity Ratio'!B4)</f>
        <v>0.3607503608</v>
      </c>
      <c r="G6" s="49" t="s">
        <v>173</v>
      </c>
      <c r="H6" s="57">
        <f>1/(1+'Debt Equity Ratio'!C4)</f>
        <v>0.3337783712</v>
      </c>
    </row>
    <row r="7" ht="15.75" customHeight="1">
      <c r="A7" s="49" t="s">
        <v>174</v>
      </c>
      <c r="B7" s="52">
        <f>'Cost of Debt Calculation'!B4</f>
        <v>2.46112238</v>
      </c>
      <c r="D7" s="49" t="s">
        <v>174</v>
      </c>
      <c r="E7" s="52">
        <f>'Cost of Debt Calculation'!B5</f>
        <v>2.856865033</v>
      </c>
      <c r="G7" s="49" t="s">
        <v>174</v>
      </c>
      <c r="H7" s="52">
        <f>'Cost of Debt Calculation'!B6</f>
        <v>2.426494879</v>
      </c>
    </row>
    <row r="8" ht="15.75" customHeight="1">
      <c r="A8" s="49" t="s">
        <v>175</v>
      </c>
      <c r="B8" s="58" t="s">
        <v>176</v>
      </c>
      <c r="D8" s="49" t="s">
        <v>175</v>
      </c>
      <c r="E8" s="58" t="s">
        <v>176</v>
      </c>
      <c r="G8" s="49" t="s">
        <v>175</v>
      </c>
      <c r="H8" s="58" t="s">
        <v>176</v>
      </c>
    </row>
    <row r="9" ht="15.75" customHeight="1">
      <c r="A9" s="60" t="s">
        <v>177</v>
      </c>
      <c r="B9" s="57">
        <f>(B4*B5)+((B6*B7)*(1-B8))</f>
        <v>0.6652797239</v>
      </c>
      <c r="D9" s="60" t="s">
        <v>177</v>
      </c>
      <c r="E9" s="57">
        <f>(E4*E5)+((E6*E7)*(1-E8))</f>
        <v>0.7050496669</v>
      </c>
      <c r="G9" s="60" t="s">
        <v>177</v>
      </c>
      <c r="H9" s="57">
        <f>(H4*H5)+((H6*H7)*(1-H8))</f>
        <v>0.5336874081</v>
      </c>
    </row>
    <row r="10" ht="15.75" customHeight="1"/>
    <row r="11" ht="15.75" customHeight="1">
      <c r="A11" s="15" t="s">
        <v>78</v>
      </c>
      <c r="B11" s="8"/>
      <c r="D11" s="15" t="s">
        <v>79</v>
      </c>
      <c r="E11" s="8"/>
    </row>
    <row r="12" ht="15.75" customHeight="1">
      <c r="A12" s="49" t="s">
        <v>171</v>
      </c>
      <c r="B12" s="57">
        <f>'Debt Equity Ratio'!D4/(1+'Debt Equity Ratio'!D4)</f>
        <v>0.652173913</v>
      </c>
      <c r="D12" s="49" t="s">
        <v>171</v>
      </c>
      <c r="E12" s="57">
        <f>'Debt Equity Ratio'!E4/(1+'Debt Equity Ratio'!E4)</f>
        <v>0.613003096</v>
      </c>
    </row>
    <row r="13" ht="15.75" customHeight="1">
      <c r="A13" s="49" t="s">
        <v>172</v>
      </c>
      <c r="B13" s="59">
        <f>'Cost of Equity Calculation'!B13</f>
        <v>0.2586773173</v>
      </c>
      <c r="D13" s="49" t="s">
        <v>172</v>
      </c>
      <c r="E13" s="59">
        <f>'Cost of Equity Calculation'!E13</f>
        <v>0.01275587521</v>
      </c>
    </row>
    <row r="14" ht="15.75" customHeight="1">
      <c r="A14" s="49" t="s">
        <v>173</v>
      </c>
      <c r="B14" s="58">
        <f>1/(1+'Debt Equity Ratio'!D4)</f>
        <v>0.347826087</v>
      </c>
      <c r="D14" s="49" t="s">
        <v>173</v>
      </c>
      <c r="E14" s="57">
        <f>1/(1+'Debt Equity Ratio'!E4)</f>
        <v>0.386996904</v>
      </c>
    </row>
    <row r="15" ht="15.75" customHeight="1">
      <c r="A15" s="49" t="s">
        <v>174</v>
      </c>
      <c r="B15" s="52">
        <f>'Cost of Debt Calculation'!B7</f>
        <v>3.305933727</v>
      </c>
      <c r="D15" s="49" t="s">
        <v>174</v>
      </c>
      <c r="E15" s="61">
        <f>'Cost of Debt Calculation'!B8</f>
        <v>2.152509653</v>
      </c>
      <c r="H15" s="62"/>
    </row>
    <row r="16" ht="15.75" customHeight="1">
      <c r="A16" s="49" t="s">
        <v>175</v>
      </c>
      <c r="B16" s="58" t="s">
        <v>176</v>
      </c>
      <c r="D16" s="49" t="s">
        <v>175</v>
      </c>
      <c r="E16" s="58" t="s">
        <v>176</v>
      </c>
      <c r="H16" s="62"/>
    </row>
    <row r="17" ht="15.75" customHeight="1">
      <c r="A17" s="60" t="s">
        <v>177</v>
      </c>
      <c r="B17" s="57">
        <f>(B12*B13)+((B14*B15)*(1-B16))</f>
        <v>0.9161310931</v>
      </c>
      <c r="D17" s="60" t="s">
        <v>177</v>
      </c>
      <c r="E17" s="57">
        <f>(E12*E13)+((E14*E15)*(1-E16))</f>
        <v>0.5492788624</v>
      </c>
    </row>
    <row r="18" ht="15.75" customHeight="1"/>
    <row r="19" ht="15.75" customHeight="1"/>
    <row r="20" ht="15.75" customHeight="1">
      <c r="A20" s="1" t="s">
        <v>178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A1:H1"/>
    <mergeCell ref="A3:B3"/>
    <mergeCell ref="D3:E3"/>
    <mergeCell ref="G3:H3"/>
    <mergeCell ref="A11:B11"/>
    <mergeCell ref="D11:E11"/>
    <mergeCell ref="A20:H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6" width="11.33"/>
    <col customWidth="1" min="7" max="25" width="8.56"/>
  </cols>
  <sheetData>
    <row r="1" ht="15.75" customHeight="1">
      <c r="A1" s="1" t="s">
        <v>61</v>
      </c>
    </row>
    <row r="2" ht="15.75" customHeight="1">
      <c r="G2" s="5"/>
    </row>
    <row r="3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5"/>
    </row>
    <row r="4" ht="15.75" customHeight="1">
      <c r="A4" s="2" t="s">
        <v>62</v>
      </c>
      <c r="B4" s="2">
        <v>48686.0</v>
      </c>
      <c r="C4" s="2">
        <v>53614.0</v>
      </c>
      <c r="D4" s="2">
        <v>45488.0</v>
      </c>
      <c r="E4" s="2">
        <v>44630.0</v>
      </c>
      <c r="F4" s="2">
        <v>57446.0</v>
      </c>
      <c r="G4" s="5"/>
    </row>
    <row r="5" ht="15.75" customHeight="1">
      <c r="A5" s="2" t="s">
        <v>63</v>
      </c>
      <c r="B5" s="2">
        <v>42462.0</v>
      </c>
      <c r="C5" s="2">
        <v>46974.0</v>
      </c>
      <c r="D5" s="2">
        <v>39690.0</v>
      </c>
      <c r="E5" s="2">
        <v>37672.0</v>
      </c>
      <c r="F5" s="2">
        <v>50404.0</v>
      </c>
      <c r="G5" s="5"/>
    </row>
    <row r="6" ht="15.75" customHeight="1">
      <c r="A6" s="3" t="s">
        <v>64</v>
      </c>
      <c r="B6" s="3">
        <v>6224.0</v>
      </c>
      <c r="C6" s="3">
        <v>6640.0</v>
      </c>
      <c r="D6" s="3">
        <v>5798.0</v>
      </c>
      <c r="E6" s="3">
        <v>6957.0</v>
      </c>
      <c r="F6" s="3">
        <v>7042.0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2" t="s">
        <v>65</v>
      </c>
      <c r="B7" s="2">
        <v>0.13</v>
      </c>
      <c r="C7" s="2">
        <v>0.12</v>
      </c>
      <c r="D7" s="2">
        <v>0.13</v>
      </c>
      <c r="E7" s="2">
        <v>0.16</v>
      </c>
      <c r="F7" s="2">
        <v>0.12</v>
      </c>
      <c r="G7" s="5"/>
    </row>
    <row r="8" ht="15.75" customHeight="1">
      <c r="A8" s="2" t="s">
        <v>66</v>
      </c>
      <c r="B8" s="2">
        <v>1470.0</v>
      </c>
      <c r="C8" s="2">
        <v>1659.0</v>
      </c>
      <c r="D8" s="2">
        <v>-346.0</v>
      </c>
      <c r="E8" s="2">
        <v>-1888.0</v>
      </c>
      <c r="F8" s="2">
        <v>1867.0</v>
      </c>
      <c r="G8" s="5"/>
    </row>
    <row r="9" ht="15.75" customHeight="1">
      <c r="A9" s="2" t="s">
        <v>67</v>
      </c>
      <c r="B9" s="2">
        <v>112.0</v>
      </c>
      <c r="C9" s="2">
        <v>113.0</v>
      </c>
      <c r="D9" s="2">
        <v>113.0</v>
      </c>
      <c r="E9" s="2">
        <v>396.0</v>
      </c>
      <c r="F9" s="2">
        <v>223.0</v>
      </c>
      <c r="G9" s="5"/>
    </row>
    <row r="10" ht="15.75" customHeight="1">
      <c r="A10" s="2" t="s">
        <v>68</v>
      </c>
      <c r="B10" s="2">
        <v>1479.0</v>
      </c>
      <c r="C10" s="2">
        <v>1860.0</v>
      </c>
      <c r="D10" s="2">
        <v>2223.0</v>
      </c>
      <c r="E10" s="2">
        <v>2370.0</v>
      </c>
      <c r="F10" s="2">
        <v>2451.0</v>
      </c>
      <c r="G10" s="5"/>
    </row>
    <row r="11" ht="15.75" customHeight="1">
      <c r="A11" s="3" t="s">
        <v>69</v>
      </c>
      <c r="B11" s="3">
        <v>6102.0</v>
      </c>
      <c r="C11" s="3">
        <v>6325.0</v>
      </c>
      <c r="D11" s="3">
        <v>3116.0</v>
      </c>
      <c r="E11" s="3">
        <v>2303.0</v>
      </c>
      <c r="F11" s="3">
        <v>6235.0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2" t="s">
        <v>70</v>
      </c>
      <c r="B12" s="2">
        <v>0.29</v>
      </c>
      <c r="C12" s="2">
        <v>0.24</v>
      </c>
      <c r="D12" s="2">
        <v>0.57</v>
      </c>
      <c r="E12" s="2">
        <v>0.57</v>
      </c>
      <c r="F12" s="2">
        <v>0.21</v>
      </c>
      <c r="G12" s="5"/>
    </row>
    <row r="13" ht="15.75" customHeight="1">
      <c r="A13" s="3" t="s">
        <v>71</v>
      </c>
      <c r="B13" s="3">
        <v>4356.0</v>
      </c>
      <c r="C13" s="3">
        <v>4796.0</v>
      </c>
      <c r="D13" s="3">
        <v>1331.0</v>
      </c>
      <c r="E13" s="3">
        <v>984.0</v>
      </c>
      <c r="F13" s="3">
        <v>4935.0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2" t="s">
        <v>72</v>
      </c>
      <c r="B14" s="2">
        <v>35.04</v>
      </c>
      <c r="C14" s="2">
        <v>38.58</v>
      </c>
      <c r="D14" s="2">
        <v>10.7</v>
      </c>
      <c r="E14" s="2">
        <v>7.92</v>
      </c>
      <c r="F14" s="2">
        <v>39.7</v>
      </c>
      <c r="G14" s="5"/>
    </row>
    <row r="15" ht="15.75" customHeight="1">
      <c r="A15" s="2" t="s">
        <v>73</v>
      </c>
      <c r="B15" s="2">
        <v>0.2</v>
      </c>
      <c r="C15" s="2">
        <v>0.21</v>
      </c>
      <c r="D15" s="2">
        <v>0.21</v>
      </c>
      <c r="E15" s="2">
        <v>1.06</v>
      </c>
      <c r="F15" s="2">
        <v>0.28</v>
      </c>
      <c r="G15" s="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" t="s">
        <v>74</v>
      </c>
      <c r="B1" s="7"/>
      <c r="C1" s="7"/>
      <c r="D1" s="7"/>
      <c r="E1" s="8"/>
      <c r="F1" s="9"/>
      <c r="G1" s="9"/>
      <c r="H1" s="9"/>
    </row>
    <row r="2">
      <c r="A2" s="10"/>
      <c r="B2" s="10"/>
      <c r="C2" s="10"/>
      <c r="D2" s="10"/>
      <c r="E2" s="10"/>
    </row>
    <row r="3">
      <c r="A3" s="11" t="s">
        <v>75</v>
      </c>
      <c r="B3" s="11" t="s">
        <v>76</v>
      </c>
      <c r="C3" s="11" t="s">
        <v>77</v>
      </c>
      <c r="D3" s="11" t="s">
        <v>78</v>
      </c>
      <c r="E3" s="11" t="s">
        <v>79</v>
      </c>
    </row>
    <row r="4">
      <c r="A4" s="12">
        <v>1.52</v>
      </c>
      <c r="B4" s="12">
        <v>1.772</v>
      </c>
      <c r="C4" s="12">
        <v>1.996</v>
      </c>
      <c r="D4" s="12">
        <v>1.875</v>
      </c>
      <c r="E4" s="12">
        <v>1.584</v>
      </c>
    </row>
    <row r="9">
      <c r="A9" s="13" t="s">
        <v>80</v>
      </c>
    </row>
  </sheetData>
  <mergeCells count="1">
    <mergeCell ref="A1:E1"/>
  </mergeCells>
  <hyperlinks>
    <hyperlink r:id="rId1" ref="A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22"/>
    <col customWidth="1" min="2" max="3" width="8.56"/>
    <col customWidth="1" min="4" max="4" width="20.22"/>
    <col customWidth="1" min="5" max="6" width="8.56"/>
    <col customWidth="1" min="7" max="7" width="20.22"/>
    <col customWidth="1" min="8" max="26" width="8.56"/>
  </cols>
  <sheetData>
    <row r="1" ht="15.75" customHeight="1">
      <c r="A1" s="6" t="s">
        <v>81</v>
      </c>
      <c r="B1" s="7"/>
      <c r="C1" s="7"/>
      <c r="D1" s="7"/>
      <c r="E1" s="7"/>
      <c r="F1" s="7"/>
      <c r="G1" s="7"/>
      <c r="H1" s="8"/>
    </row>
    <row r="2" ht="15.75" customHeight="1">
      <c r="A2" s="14"/>
      <c r="B2" s="14"/>
      <c r="D2" s="14"/>
      <c r="E2" s="14"/>
      <c r="G2" s="14"/>
      <c r="H2" s="14"/>
    </row>
    <row r="3" ht="15.75" customHeight="1">
      <c r="A3" s="15" t="s">
        <v>75</v>
      </c>
      <c r="B3" s="8"/>
      <c r="D3" s="15" t="s">
        <v>76</v>
      </c>
      <c r="E3" s="8"/>
      <c r="G3" s="15" t="s">
        <v>77</v>
      </c>
      <c r="H3" s="8"/>
    </row>
    <row r="4" ht="15.75" customHeight="1">
      <c r="A4" s="16" t="s">
        <v>82</v>
      </c>
      <c r="B4" s="17">
        <v>0.07398</v>
      </c>
      <c r="D4" s="16" t="s">
        <v>82</v>
      </c>
      <c r="E4" s="17">
        <v>0.07398</v>
      </c>
      <c r="G4" s="16" t="s">
        <v>82</v>
      </c>
      <c r="H4" s="17">
        <v>0.07398</v>
      </c>
    </row>
    <row r="5" ht="15.75" customHeight="1">
      <c r="A5" s="16" t="s">
        <v>83</v>
      </c>
      <c r="B5" s="17">
        <v>0.0378</v>
      </c>
      <c r="D5" s="16" t="s">
        <v>83</v>
      </c>
      <c r="E5" s="17">
        <v>0.0447</v>
      </c>
      <c r="G5" s="16" t="s">
        <v>83</v>
      </c>
      <c r="H5" s="17">
        <v>-0.0233</v>
      </c>
    </row>
    <row r="6" ht="15.75" customHeight="1">
      <c r="A6" s="16" t="s">
        <v>84</v>
      </c>
      <c r="B6" s="2">
        <f>'Calculation of beta using Histo'!E14</f>
        <v>0.64869808</v>
      </c>
      <c r="D6" s="16" t="s">
        <v>84</v>
      </c>
      <c r="E6" s="18">
        <f>'Calculation of beta using Histo'!E14</f>
        <v>0.64869808</v>
      </c>
      <c r="G6" s="16" t="s">
        <v>84</v>
      </c>
      <c r="H6" s="18">
        <f>'Calculation of beta using Histo'!E14</f>
        <v>0.64869808</v>
      </c>
    </row>
    <row r="7" ht="15.75" customHeight="1">
      <c r="A7" s="19" t="s">
        <v>85</v>
      </c>
      <c r="B7" s="17">
        <f>B4+B6*(B5-B4)</f>
        <v>0.05051010347</v>
      </c>
      <c r="D7" s="19" t="s">
        <v>85</v>
      </c>
      <c r="E7" s="17">
        <f>E4+E6*(E5-E4)</f>
        <v>0.05498612022</v>
      </c>
      <c r="G7" s="19" t="s">
        <v>85</v>
      </c>
      <c r="H7" s="17">
        <f>H4+H6*(H5-H4)</f>
        <v>0.01087465078</v>
      </c>
    </row>
    <row r="8" ht="15.75" customHeight="1"/>
    <row r="9" ht="15.75" customHeight="1">
      <c r="A9" s="15" t="s">
        <v>78</v>
      </c>
      <c r="B9" s="8"/>
      <c r="D9" s="15" t="s">
        <v>79</v>
      </c>
      <c r="E9" s="8"/>
    </row>
    <row r="10" ht="15.75" customHeight="1">
      <c r="A10" s="16" t="s">
        <v>82</v>
      </c>
      <c r="B10" s="17">
        <v>0.07398</v>
      </c>
      <c r="D10" s="16" t="s">
        <v>82</v>
      </c>
      <c r="E10" s="17">
        <v>0.07398</v>
      </c>
    </row>
    <row r="11" ht="15.75" customHeight="1">
      <c r="A11" s="16" t="s">
        <v>83</v>
      </c>
      <c r="B11" s="17">
        <v>0.3587</v>
      </c>
      <c r="D11" s="16" t="s">
        <v>83</v>
      </c>
      <c r="E11" s="17">
        <v>-0.0204</v>
      </c>
    </row>
    <row r="12" ht="15.75" customHeight="1">
      <c r="A12" s="16" t="s">
        <v>84</v>
      </c>
      <c r="B12" s="18">
        <f>'Calculation of beta using Histo'!E14</f>
        <v>0.64869808</v>
      </c>
      <c r="D12" s="16" t="s">
        <v>84</v>
      </c>
      <c r="E12" s="18">
        <f>'Calculation of beta using Histo'!E14</f>
        <v>0.64869808</v>
      </c>
    </row>
    <row r="13" ht="15.75" customHeight="1">
      <c r="A13" s="19" t="s">
        <v>85</v>
      </c>
      <c r="B13" s="17">
        <f>B10+B12*(B11-B10)</f>
        <v>0.2586773173</v>
      </c>
      <c r="D13" s="19" t="s">
        <v>85</v>
      </c>
      <c r="E13" s="17">
        <f>E10+E12*(E11-E10)</f>
        <v>0.01275587521</v>
      </c>
    </row>
    <row r="14" ht="15.75" customHeight="1"/>
    <row r="15" ht="15.75" customHeight="1"/>
    <row r="16" ht="15.75" customHeight="1">
      <c r="A16" s="14" t="s">
        <v>86</v>
      </c>
    </row>
    <row r="17" ht="15.75" customHeight="1"/>
    <row r="18" ht="15.75" customHeight="1">
      <c r="A18" s="13" t="s">
        <v>87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:H1"/>
    <mergeCell ref="A3:B3"/>
    <mergeCell ref="D3:E3"/>
    <mergeCell ref="G3:H3"/>
    <mergeCell ref="A9:B9"/>
    <mergeCell ref="D9:E9"/>
    <mergeCell ref="A16:H16"/>
  </mergeCells>
  <hyperlinks>
    <hyperlink r:id="rId1" ref="A18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56"/>
    <col customWidth="1" min="3" max="3" width="19.0"/>
    <col customWidth="1" min="6" max="6" width="19.56"/>
  </cols>
  <sheetData>
    <row r="1">
      <c r="A1" s="20" t="s">
        <v>88</v>
      </c>
      <c r="B1" s="7"/>
      <c r="C1" s="7"/>
      <c r="D1" s="7"/>
      <c r="E1" s="7"/>
      <c r="F1" s="7"/>
      <c r="G1" s="8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2"/>
      <c r="B3" s="23" t="s">
        <v>89</v>
      </c>
      <c r="C3" s="23" t="s">
        <v>90</v>
      </c>
      <c r="D3" s="23" t="s">
        <v>91</v>
      </c>
      <c r="E3" s="23" t="s">
        <v>92</v>
      </c>
      <c r="F3" s="23" t="s">
        <v>93</v>
      </c>
      <c r="G3" s="21"/>
      <c r="H3" s="24" t="s">
        <v>94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5" t="s">
        <v>95</v>
      </c>
      <c r="B4" s="26">
        <v>49721.91</v>
      </c>
      <c r="C4" s="26">
        <v>55302.97</v>
      </c>
      <c r="D4" s="26">
        <v>47155.59</v>
      </c>
      <c r="E4" s="26">
        <v>46262.29</v>
      </c>
      <c r="F4" s="26">
        <v>59521.87</v>
      </c>
      <c r="G4" s="21"/>
      <c r="H4" s="27" t="s">
        <v>96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5" t="s">
        <v>97</v>
      </c>
      <c r="B5" s="26">
        <v>1036.36</v>
      </c>
      <c r="C5" s="26">
        <v>1688.97</v>
      </c>
      <c r="D5" s="26">
        <v>1667.81</v>
      </c>
      <c r="E5" s="26">
        <v>1221.31</v>
      </c>
      <c r="F5" s="26">
        <v>2075.9</v>
      </c>
      <c r="G5" s="21"/>
      <c r="H5" s="28" t="s">
        <v>98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5" t="s">
        <v>99</v>
      </c>
      <c r="B6" s="26">
        <v>48685.55</v>
      </c>
      <c r="C6" s="26">
        <v>53614.0</v>
      </c>
      <c r="D6" s="26">
        <v>45487.78</v>
      </c>
      <c r="E6" s="26">
        <v>45040.98</v>
      </c>
      <c r="F6" s="22">
        <f>F4-F5</f>
        <v>57445.97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5" t="s">
        <v>100</v>
      </c>
      <c r="B7" s="22">
        <f t="shared" ref="B7:C7" si="1">17882.96+9658.98        </f>
        <v>27541.94</v>
      </c>
      <c r="C7" s="22">
        <f t="shared" si="1"/>
        <v>27541.94</v>
      </c>
      <c r="D7" s="22">
        <f>11042.44+6316.52</f>
        <v>17358.96</v>
      </c>
      <c r="E7" s="22">
        <f>4628.75+12638.53</f>
        <v>17267.28</v>
      </c>
      <c r="F7" s="22">
        <f>17887.32+5977.67</f>
        <v>23864.99</v>
      </c>
      <c r="G7" s="2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5" t="s">
        <v>101</v>
      </c>
      <c r="B8" s="22">
        <f t="shared" ref="B8:F8" si="2">B6-B7</f>
        <v>21143.61</v>
      </c>
      <c r="C8" s="22">
        <f t="shared" si="2"/>
        <v>26072.06</v>
      </c>
      <c r="D8" s="22">
        <f t="shared" si="2"/>
        <v>28128.82</v>
      </c>
      <c r="E8" s="22">
        <f t="shared" si="2"/>
        <v>27773.7</v>
      </c>
      <c r="F8" s="22">
        <f t="shared" si="2"/>
        <v>33580.98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5" t="s">
        <v>67</v>
      </c>
      <c r="B9" s="30">
        <v>112.2</v>
      </c>
      <c r="C9" s="30">
        <v>113.39</v>
      </c>
      <c r="D9" s="30">
        <v>113.23</v>
      </c>
      <c r="E9" s="30">
        <v>370.88</v>
      </c>
      <c r="F9" s="30">
        <v>223.0</v>
      </c>
      <c r="G9" s="31"/>
      <c r="H9" s="29"/>
      <c r="I9" s="29"/>
      <c r="J9" s="2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25" t="s">
        <v>102</v>
      </c>
      <c r="B10" s="22">
        <f t="shared" ref="B10:F10" si="3">B8-B9</f>
        <v>21031.41</v>
      </c>
      <c r="C10" s="22">
        <f t="shared" si="3"/>
        <v>25958.67</v>
      </c>
      <c r="D10" s="22">
        <f t="shared" si="3"/>
        <v>28015.59</v>
      </c>
      <c r="E10" s="22">
        <f t="shared" si="3"/>
        <v>27402.82</v>
      </c>
      <c r="F10" s="22">
        <f t="shared" si="3"/>
        <v>33357.98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2"/>
      <c r="B11" s="22"/>
      <c r="C11" s="22"/>
      <c r="D11" s="22"/>
      <c r="E11" s="22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5" t="s">
        <v>103</v>
      </c>
      <c r="B12" s="22">
        <f t="shared" ref="B12:F12" si="4">B6/B8</f>
        <v>2.302612941</v>
      </c>
      <c r="C12" s="22">
        <f t="shared" si="4"/>
        <v>2.056377593</v>
      </c>
      <c r="D12" s="22">
        <f t="shared" si="4"/>
        <v>1.617123648</v>
      </c>
      <c r="E12" s="22">
        <f t="shared" si="4"/>
        <v>1.621713348</v>
      </c>
      <c r="F12" s="22">
        <f t="shared" si="4"/>
        <v>1.710669849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5" t="s">
        <v>104</v>
      </c>
      <c r="B13" s="22">
        <f t="shared" ref="B13:F13" si="5">B8/B10</f>
        <v>1.005334878</v>
      </c>
      <c r="C13" s="22">
        <f t="shared" si="5"/>
        <v>1.004368097</v>
      </c>
      <c r="D13" s="22">
        <f t="shared" si="5"/>
        <v>1.004041678</v>
      </c>
      <c r="E13" s="22">
        <f t="shared" si="5"/>
        <v>1.013534373</v>
      </c>
      <c r="F13" s="22">
        <f t="shared" si="5"/>
        <v>1.006685057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5" t="s">
        <v>105</v>
      </c>
      <c r="B14" s="22">
        <f t="shared" ref="B14:F14" si="6">B12*B13</f>
        <v>2.314897099</v>
      </c>
      <c r="C14" s="22">
        <f t="shared" si="6"/>
        <v>2.065360051</v>
      </c>
      <c r="D14" s="22">
        <f t="shared" si="6"/>
        <v>1.623659541</v>
      </c>
      <c r="E14" s="22">
        <f t="shared" si="6"/>
        <v>1.643662222</v>
      </c>
      <c r="F14" s="22">
        <f t="shared" si="6"/>
        <v>1.722105775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4" t="s">
        <v>106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2"/>
      <c r="B18" s="25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5" t="s">
        <v>95</v>
      </c>
      <c r="B19" s="22">
        <f t="shared" ref="B19:B25" si="7">SUM(B4:F4)</f>
        <v>257964.63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5" t="s">
        <v>97</v>
      </c>
      <c r="B20" s="22">
        <f t="shared" si="7"/>
        <v>7690.35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5" t="s">
        <v>99</v>
      </c>
      <c r="B21" s="22">
        <f t="shared" si="7"/>
        <v>250274.28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5" t="s">
        <v>100</v>
      </c>
      <c r="B22" s="22">
        <f t="shared" si="7"/>
        <v>113575.11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5" t="s">
        <v>101</v>
      </c>
      <c r="B23" s="22">
        <f t="shared" si="7"/>
        <v>136699.17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5" t="s">
        <v>67</v>
      </c>
      <c r="B24" s="22">
        <f t="shared" si="7"/>
        <v>932.7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5" t="s">
        <v>102</v>
      </c>
      <c r="B25" s="22">
        <f t="shared" si="7"/>
        <v>135766.47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5" t="s">
        <v>103</v>
      </c>
      <c r="B27" s="22">
        <f t="shared" ref="B27:B29" si="8">SUM(B12:F12)</f>
        <v>9.308497379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5" t="s">
        <v>104</v>
      </c>
      <c r="B28" s="22">
        <f t="shared" si="8"/>
        <v>5.033964084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5" t="s">
        <v>105</v>
      </c>
      <c r="B29" s="22">
        <f t="shared" si="8"/>
        <v>9.369684688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</sheetData>
  <mergeCells count="1"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7.11"/>
  </cols>
  <sheetData>
    <row r="1">
      <c r="A1" s="32" t="s">
        <v>108</v>
      </c>
      <c r="B1" s="33"/>
      <c r="C1" s="33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2"/>
      <c r="B2" s="34"/>
      <c r="C2" s="34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5" t="s">
        <v>109</v>
      </c>
      <c r="B3" s="36" t="s">
        <v>110</v>
      </c>
      <c r="C3" s="36" t="s">
        <v>111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7">
        <v>42826.0</v>
      </c>
      <c r="B4" s="38">
        <v>592.5</v>
      </c>
      <c r="C4" s="39">
        <f>'Dividend Data M&amp;M'!E4</f>
        <v>13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7">
        <v>43191.0</v>
      </c>
      <c r="B5" s="38">
        <v>752.0</v>
      </c>
      <c r="C5" s="39">
        <f>'Dividend Data M&amp;M'!E5</f>
        <v>7.5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7">
        <v>43556.0</v>
      </c>
      <c r="B6" s="38">
        <v>805.1</v>
      </c>
      <c r="C6" s="39">
        <f>'Dividend Data M&amp;M'!E6</f>
        <v>8.5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7">
        <v>43922.0</v>
      </c>
      <c r="B7" s="38">
        <v>534.4</v>
      </c>
      <c r="C7" s="39">
        <f>'Dividend Data M&amp;M'!E7</f>
        <v>2.35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7">
        <v>44287.0</v>
      </c>
      <c r="B8" s="38">
        <v>726.0</v>
      </c>
      <c r="C8" s="39">
        <f>'Dividend Data M&amp;M'!E8</f>
        <v>8.75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7">
        <v>44652.0</v>
      </c>
      <c r="B9" s="38">
        <v>843.5</v>
      </c>
      <c r="C9" s="39">
        <f>'Dividend Data M&amp;M'!E9</f>
        <v>11.55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40" t="s">
        <v>112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hyperlinks>
    <hyperlink r:id="rId1" ref="A1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2.89"/>
  </cols>
  <sheetData>
    <row r="1">
      <c r="A1" s="32" t="s">
        <v>113</v>
      </c>
      <c r="B1" s="33"/>
      <c r="C1" s="33"/>
      <c r="D1" s="33"/>
      <c r="E1" s="33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41"/>
      <c r="B2" s="41"/>
      <c r="C2" s="41"/>
      <c r="D2" s="41"/>
      <c r="E2" s="41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114</v>
      </c>
      <c r="B3" s="42" t="s">
        <v>115</v>
      </c>
      <c r="C3" s="42" t="s">
        <v>116</v>
      </c>
      <c r="D3" s="42" t="s">
        <v>117</v>
      </c>
      <c r="E3" s="42" t="s">
        <v>118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2" t="s">
        <v>119</v>
      </c>
      <c r="B4" s="42" t="s">
        <v>120</v>
      </c>
      <c r="C4" s="42" t="s">
        <v>121</v>
      </c>
      <c r="D4" s="42">
        <v>260.0</v>
      </c>
      <c r="E4" s="42">
        <v>13.0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2" t="s">
        <v>122</v>
      </c>
      <c r="B5" s="42" t="s">
        <v>123</v>
      </c>
      <c r="C5" s="42" t="s">
        <v>121</v>
      </c>
      <c r="D5" s="42">
        <v>150.0</v>
      </c>
      <c r="E5" s="42">
        <v>7.5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42" t="s">
        <v>124</v>
      </c>
      <c r="B6" s="42" t="s">
        <v>125</v>
      </c>
      <c r="C6" s="42" t="s">
        <v>121</v>
      </c>
      <c r="D6" s="42">
        <v>170.0</v>
      </c>
      <c r="E6" s="42">
        <v>8.5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43">
        <v>44171.0</v>
      </c>
      <c r="B7" s="42" t="s">
        <v>126</v>
      </c>
      <c r="C7" s="42" t="s">
        <v>121</v>
      </c>
      <c r="D7" s="42">
        <v>47.0</v>
      </c>
      <c r="E7" s="42">
        <v>2.35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42" t="s">
        <v>127</v>
      </c>
      <c r="B8" s="42" t="s">
        <v>128</v>
      </c>
      <c r="C8" s="42" t="s">
        <v>121</v>
      </c>
      <c r="D8" s="42">
        <v>175.0</v>
      </c>
      <c r="E8" s="42">
        <v>8.75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42" t="s">
        <v>129</v>
      </c>
      <c r="B9" s="42" t="s">
        <v>130</v>
      </c>
      <c r="C9" s="42" t="s">
        <v>121</v>
      </c>
      <c r="D9" s="42">
        <v>231.0</v>
      </c>
      <c r="E9" s="42">
        <v>11.55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40" t="s">
        <v>131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hyperlinks>
    <hyperlink r:id="rId1" ref="A1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22"/>
    <col customWidth="1" min="2" max="2" width="10.78"/>
    <col customWidth="1" min="3" max="26" width="19.22"/>
  </cols>
  <sheetData>
    <row r="1">
      <c r="A1" s="32" t="s">
        <v>132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133</v>
      </c>
      <c r="B3" s="35" t="s">
        <v>134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44" t="s">
        <v>135</v>
      </c>
      <c r="B4" s="45">
        <f>(('Historical Opening Price Data M'!C4+('Historical Opening Price Data M'!B5-'Historical Opening Price Data M'!B4))/'Historical Opening Price Data M'!B4)*100</f>
        <v>29.11392405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44" t="s">
        <v>136</v>
      </c>
      <c r="B5" s="45">
        <f>(('Historical Opening Price Data M'!C5+('Historical Opening Price Data M'!B6-'Historical Opening Price Data M'!B5))/'Historical Opening Price Data M'!B5)*100</f>
        <v>8.058510638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44" t="s">
        <v>137</v>
      </c>
      <c r="B6" s="45">
        <f>(('Historical Opening Price Data M'!C6+('Historical Opening Price Data M'!B7-'Historical Opening Price Data M'!B6))/'Historical Opening Price Data M'!B6)*100</f>
        <v>-32.56738293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4" t="s">
        <v>138</v>
      </c>
      <c r="B7" s="45">
        <f>(('Historical Opening Price Data M'!C7+('Historical Opening Price Data M'!B8-'Historical Opening Price Data M'!B7))/'Historical Opening Price Data M'!B7)*100</f>
        <v>36.29303892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4" t="s">
        <v>139</v>
      </c>
      <c r="B8" s="45">
        <f>(('Historical Opening Price Data M'!C8+('Historical Opening Price Data M'!B9-'Historical Opening Price Data M'!B8))/'Historical Opening Price Data M'!B8)*100</f>
        <v>17.38980716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2" t="s">
        <v>140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6.56"/>
  </cols>
  <sheetData>
    <row r="1">
      <c r="A1" s="10" t="s">
        <v>141</v>
      </c>
    </row>
    <row r="3">
      <c r="A3" s="35" t="s">
        <v>109</v>
      </c>
      <c r="B3" s="36" t="s">
        <v>110</v>
      </c>
    </row>
    <row r="4">
      <c r="A4" s="37">
        <v>42826.0</v>
      </c>
      <c r="B4" s="46">
        <v>9220.6</v>
      </c>
    </row>
    <row r="5">
      <c r="A5" s="37">
        <v>43191.0</v>
      </c>
      <c r="B5" s="46">
        <v>10151.65</v>
      </c>
    </row>
    <row r="6">
      <c r="A6" s="37">
        <v>43556.0</v>
      </c>
      <c r="B6" s="46">
        <v>11665.2</v>
      </c>
    </row>
    <row r="7">
      <c r="A7" s="37">
        <v>43922.0</v>
      </c>
      <c r="B7" s="46">
        <v>8584.1</v>
      </c>
    </row>
    <row r="8">
      <c r="A8" s="37">
        <v>44287.0</v>
      </c>
      <c r="B8" s="46">
        <v>14798.4</v>
      </c>
    </row>
    <row r="9">
      <c r="A9" s="37">
        <v>44652.0</v>
      </c>
      <c r="B9" s="46">
        <v>17436.9</v>
      </c>
    </row>
  </sheetData>
  <drawing r:id="rId1"/>
</worksheet>
</file>