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https://pfizer-my.sharepoint.com/personal/kundup04_pfizer_com/Documents/RSV_manuscript_clean/"/>
    </mc:Choice>
  </mc:AlternateContent>
  <xr:revisionPtr revIDLastSave="17" documentId="13_ncr:1_{D4E0BECA-9A80-7D45-BF63-E0583D39E6FE}" xr6:coauthVersionLast="47" xr6:coauthVersionMax="47" xr10:uidLastSave="{B15FEBEB-C9D3-CA4E-BDE8-3C2CF4DA6AC8}"/>
  <bookViews>
    <workbookView xWindow="960" yWindow="1820" windowWidth="30080" windowHeight="18580" activeTab="7" xr2:uid="{00000000-000D-0000-FFFF-FFFF00000000}"/>
  </bookViews>
  <sheets>
    <sheet name="References" sheetId="10" r:id="rId1"/>
    <sheet name="auc_VL_pbo_after_first dose" sheetId="4" r:id="rId2"/>
    <sheet name="auc_VL_high_dose" sheetId="6" r:id="rId3"/>
    <sheet name="Mean time to peak VL" sheetId="11" r:id="rId4"/>
    <sheet name="auc_total_symptom_score_pb" sheetId="14" r:id="rId5"/>
    <sheet name="imputed_time_mean_VLpeak" sheetId="2" r:id="rId6"/>
    <sheet name="time_to_symptompeak" sheetId="5" r:id="rId7"/>
    <sheet name="mean_peak_VL" sheetId="1" r:id="rId8"/>
  </sheets>
  <definedNames>
    <definedName name="_xlnm._FilterDatabase" localSheetId="5" hidden="1">imputed_time_mean_VLpeak!$B$1:$J$5</definedName>
    <definedName name="_xlnm._FilterDatabase" localSheetId="0" hidden="1">References!$B$2:$D$2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4" l="1"/>
  <c r="I9" i="14"/>
  <c r="M5" i="14"/>
  <c r="I5" i="14"/>
  <c r="K3" i="5"/>
  <c r="K4" i="5"/>
  <c r="K5" i="5"/>
  <c r="K6" i="5"/>
  <c r="K2" i="5"/>
  <c r="K3" i="6"/>
  <c r="K4" i="6"/>
  <c r="K5" i="6"/>
  <c r="K6" i="6"/>
  <c r="K7" i="6"/>
  <c r="K8" i="6"/>
  <c r="K2" i="6"/>
  <c r="X3" i="6"/>
  <c r="X4" i="6"/>
  <c r="X5" i="6"/>
  <c r="X6" i="6"/>
  <c r="X7" i="6"/>
  <c r="X8" i="6"/>
  <c r="X2" i="6"/>
  <c r="K6" i="4"/>
  <c r="J2" i="2"/>
  <c r="J8" i="2"/>
  <c r="Q4" i="6"/>
  <c r="J3" i="6"/>
  <c r="J4" i="6"/>
  <c r="J5" i="6"/>
  <c r="J6" i="6"/>
  <c r="J7" i="6"/>
  <c r="J8" i="6"/>
  <c r="J2" i="6"/>
  <c r="E4" i="2"/>
  <c r="J4" i="1"/>
  <c r="Q2" i="6"/>
  <c r="J4" i="2"/>
  <c r="K8" i="4"/>
  <c r="K7" i="4"/>
  <c r="J6" i="1"/>
  <c r="K4" i="4"/>
  <c r="K3" i="4"/>
  <c r="J7" i="2"/>
  <c r="J7" i="1"/>
  <c r="J5" i="1"/>
  <c r="J3" i="1"/>
  <c r="J5" i="2"/>
  <c r="J3" i="2"/>
  <c r="J6" i="2"/>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tc={2545A9A7-73B6-44FF-927C-7EAB368C78F4}</author>
  </authors>
  <commentList>
    <comment ref="B4" authorId="0" shapeId="0" xr:uid="{2545A9A7-73B6-44FF-927C-7EAB368C78F4}">
      <text>
        <t>[Threaded comment]
Your version of Excel allows you to read this threaded comment; however, any edits to it will get removed if the file is opened in a newer version of Excel. Learn more: https://go.microsoft.com/fwlink/?linkid=870924
Comment:
    Include two placebo groups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tc={52CCF9B8-1046-4808-8111-F7B78EBF310A}</author>
  </authors>
  <commentList>
    <comment ref="A1" authorId="0" shapeId="0" xr:uid="{52CCF9B8-1046-4808-8111-F7B78EBF310A}">
      <text>
        <t>[Threaded comment]
Your version of Excel allows you to read this threaded comment; however, any edits to it will get removed if the file is opened in a newer version of Excel. Learn more: https://go.microsoft.com/fwlink/?linkid=870924
Comment:
    @Kundu, Prosenjit Anindita wants the highest dose on each study compared for treatment effect VL AUC, here is where we need the Delta method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tc={97E55222-4BA9-4689-855F-5CF048A63AF6}</author>
    <author>tc={FE2D2717-6B35-45BB-860E-67EBF6FC0F3D}</author>
    <author>tc={0C7A4A63-6AF8-42BE-8D6E-C1BC3507CB8D}</author>
    <author>tc={5C307903-CEE0-4880-A73E-4F3AF75E1A7E}</author>
  </authors>
  <commentList>
    <comment ref="H3" authorId="0" shapeId="0" xr:uid="{97E55222-4BA9-4689-855F-5CF048A63AF6}">
      <text>
        <t>[Threaded comment]
Your version of Excel allows you to read this threaded comment; however, any edits to it will get removed if the file is opened in a newer version of Excel. Learn more: https://go.microsoft.com/fwlink/?linkid=870924
Comment:
    @Quinn, Mark - I need to understand the SD calculation and how you are getting these ranges. I am unable to confirm.</t>
      </text>
    </comment>
    <comment ref="D4" authorId="1" shapeId="0" xr:uid="{FE2D2717-6B35-45BB-860E-67EBF6FC0F3D}">
      <text>
        <t>[Threaded comment]
Your version of Excel allows you to read this threaded comment; however, any edits to it will get removed if the file is opened in a newer version of Excel. Learn more: https://go.microsoft.com/fwlink/?linkid=870924
Comment:
    After review I think this should be 27, see Table 2
Reply:
    @Quinn, Mark you are correct. It is updated</t>
      </text>
    </comment>
    <comment ref="L7" authorId="2" shapeId="0" xr:uid="{0C7A4A63-6AF8-42BE-8D6E-C1BC3507CB8D}">
      <text>
        <t>[Threaded comment]
Your version of Excel allows you to read this threaded comment; however, any edits to it will get removed if the file is opened in a newer version of Excel. Learn more: https://go.microsoft.com/fwlink/?linkid=870924
Comment:
    @Quinn, Mark - can you check 2.5 from the supplementary figure 1/2 using your graphical tool. It seems 2.5 if I review the figure with my eyes. Thank you</t>
      </text>
    </comment>
    <comment ref="E8" authorId="3" shapeId="0" xr:uid="{5C307903-CEE0-4880-A73E-4F3AF75E1A7E}">
      <text>
        <t>[Threaded comment]
Your version of Excel allows you to read this threaded comment; however, any edits to it will get removed if the file is opened in a newer version of Excel. Learn more: https://go.microsoft.com/fwlink/?linkid=870924
Comment:
    I think this should be 4.68</t>
      </text>
    </comment>
  </commentList>
</comments>
</file>

<file path=xl/sharedStrings.xml><?xml version="1.0" encoding="utf-8"?>
<sst xmlns="http://schemas.openxmlformats.org/spreadsheetml/2006/main" count="638" uniqueCount="236">
  <si>
    <t>Study</t>
  </si>
  <si>
    <t>Drug</t>
  </si>
  <si>
    <t>Dose</t>
  </si>
  <si>
    <t>n</t>
  </si>
  <si>
    <t>mean</t>
  </si>
  <si>
    <t>unit</t>
  </si>
  <si>
    <t>var_stat</t>
  </si>
  <si>
    <t>var</t>
  </si>
  <si>
    <t>sd_deriv</t>
  </si>
  <si>
    <t>sd</t>
  </si>
  <si>
    <t>DeVincenzo et al (2015)</t>
  </si>
  <si>
    <t>ALS-008176</t>
  </si>
  <si>
    <t>placebo</t>
  </si>
  <si>
    <t>log10 PFUe/ml</t>
  </si>
  <si>
    <t>SD</t>
  </si>
  <si>
    <t>Biota Pharma Europe (2018)</t>
  </si>
  <si>
    <t>BTA-C585</t>
  </si>
  <si>
    <t>Ahmad et al (2022)</t>
  </si>
  <si>
    <t>EDP-938</t>
  </si>
  <si>
    <t>log10 PFU/ml</t>
  </si>
  <si>
    <t>SE</t>
  </si>
  <si>
    <t>SE*√n</t>
  </si>
  <si>
    <t>DeVincenzo et al (2014)</t>
  </si>
  <si>
    <t>GS-5806</t>
  </si>
  <si>
    <t>Stevens et al (2018)</t>
  </si>
  <si>
    <t>JNJ-53718678</t>
  </si>
  <si>
    <t>95% CI</t>
  </si>
  <si>
    <t>(3.7; 5.7)</t>
  </si>
  <si>
    <t>((95%CI)/2)/TINV(0.05;n-1)*√n</t>
  </si>
  <si>
    <t>Merck Sharp &amp; Dohme (2019)</t>
  </si>
  <si>
    <t>MK-1654</t>
  </si>
  <si>
    <t>DeVincenzo et al (2020) [1]</t>
  </si>
  <si>
    <t>PC786</t>
  </si>
  <si>
    <t>DeVincenzo et al (2020) [2]</t>
  </si>
  <si>
    <t>RV521</t>
  </si>
  <si>
    <t>days</t>
  </si>
  <si>
    <t>range</t>
  </si>
  <si>
    <t>(2.0; 7.2)</t>
  </si>
  <si>
    <t>(Max-Min)/4</t>
  </si>
  <si>
    <t>(2.71; 6.16)</t>
  </si>
  <si>
    <t>(0; 7.25)</t>
  </si>
  <si>
    <t>IQR</t>
  </si>
  <si>
    <t>(1.46; 3.99)</t>
  </si>
  <si>
    <t>IQR/1.35</t>
  </si>
  <si>
    <t>(2; 11)</t>
  </si>
  <si>
    <t>(1; 3)</t>
  </si>
  <si>
    <t>day</t>
  </si>
  <si>
    <t>n_trt</t>
  </si>
  <si>
    <t>n_pbo</t>
  </si>
  <si>
    <t>mean_trt</t>
  </si>
  <si>
    <t>mean_pbo</t>
  </si>
  <si>
    <t>trt_diff</t>
  </si>
  <si>
    <t>trt_diffpc</t>
  </si>
  <si>
    <t>var_diff</t>
  </si>
  <si>
    <t>1 x 750 mg + 9 x 500 mg</t>
  </si>
  <si>
    <t>log10 PFUe.hr/ml</t>
  </si>
  <si>
    <t>√(δx)^2 + (δy)^2</t>
  </si>
  <si>
    <t>1 x 600 mg</t>
  </si>
  <si>
    <t>(114.413; 488.5367)</t>
  </si>
  <si>
    <t>5 x 600 mg QD</t>
  </si>
  <si>
    <t>log10 PFU.hr/ml</t>
  </si>
  <si>
    <t>1 x 50 mg + 4 x 25 mg QD</t>
  </si>
  <si>
    <t>(361.8; 652.1)</t>
  </si>
  <si>
    <t>7 x 500 mg QD</t>
  </si>
  <si>
    <t>(-368.6; 10.6)</t>
  </si>
  <si>
    <t>5 x 5 mg BID</t>
  </si>
  <si>
    <t>5 x 350 mg BID</t>
  </si>
  <si>
    <t>(-506.71; -125.57)</t>
  </si>
  <si>
    <r>
      <t>SE*</t>
    </r>
    <r>
      <rPr>
        <sz val="11"/>
        <color theme="1"/>
        <rFont val="Calibri"/>
        <family val="2"/>
      </rPr>
      <t>√n</t>
    </r>
  </si>
  <si>
    <t>(272.4; 593.2)</t>
  </si>
  <si>
    <t>Teva Branded Pharmaceutical Products (2015)</t>
  </si>
  <si>
    <t>MDT-637</t>
  </si>
  <si>
    <t>Assay</t>
  </si>
  <si>
    <t>RT-qPCR</t>
  </si>
  <si>
    <t>log10 PFUe/ml.h</t>
  </si>
  <si>
    <t>https://www.ncbi.nlm.nih.gov/pmc/articles/PMC6985722/pdf/AAC.01884-19.pdf</t>
  </si>
  <si>
    <t>correct RT-PCR used</t>
  </si>
  <si>
    <t>https://www.clinicaltrialsregister.eu/ctr-search/trial/2015-004296-77/results</t>
  </si>
  <si>
    <t>https://www.nejm.org/doi/full/10.1056/nejmoa2108903</t>
  </si>
  <si>
    <t>https://www.ncbi.nlm.nih.gov/pmc/articles/PMC9200148/pdf/jiaa716.pdf</t>
  </si>
  <si>
    <t>https://www.nejm.org/doi/full/10.1056/nejmoa1401184</t>
  </si>
  <si>
    <t>https://www.nejm.org/doi/full/10.1056/NEJMoa1413275</t>
  </si>
  <si>
    <t>https://pubmed.ncbi.nlm.nih.gov/29684148/</t>
  </si>
  <si>
    <t>correct RT-PCR assay</t>
  </si>
  <si>
    <t xml:space="preserve">correct RT-qPCR </t>
  </si>
  <si>
    <t>ITT-I (intention to treat infected, table 2)</t>
  </si>
  <si>
    <t>LS mean</t>
  </si>
  <si>
    <t>Mean</t>
  </si>
  <si>
    <t>Population</t>
  </si>
  <si>
    <t>Descriptive mean or mean using modelling</t>
  </si>
  <si>
    <t>Reported uncertainity measure</t>
  </si>
  <si>
    <t>Reported value</t>
  </si>
  <si>
    <t>ITT-I</t>
  </si>
  <si>
    <t>Reference link</t>
  </si>
  <si>
    <t>Comments</t>
  </si>
  <si>
    <t>Used Cohorts 1-4 to go with the highest dose in the study(~150mg total dose)</t>
  </si>
  <si>
    <t>Correct. AUC is calculated from baseline and not from inoculation</t>
  </si>
  <si>
    <t>correct RT-PCR assay (supplementary table S2)</t>
  </si>
  <si>
    <t>ITT</t>
  </si>
  <si>
    <t>comment</t>
  </si>
  <si>
    <t>LS</t>
  </si>
  <si>
    <t>ITT-IS</t>
  </si>
  <si>
    <t>Table 2</t>
  </si>
  <si>
    <t>Table 1</t>
  </si>
  <si>
    <r>
      <t>In addition, in a post hoc analysis, an RSV viral load cutoff value of 1.0 log</t>
    </r>
    <r>
      <rPr>
        <sz val="6"/>
        <color theme="1"/>
        <rFont val="MinionPro"/>
      </rPr>
      <t xml:space="preserve">10 </t>
    </r>
    <r>
      <rPr>
        <sz val="10"/>
        <color theme="1"/>
        <rFont val="MinionPro"/>
      </rPr>
      <t xml:space="preserve">PFU equivalents (PFUe)/mL was used to score a measurement as positive. This analysis defines a new population, the specific ITT-I (ITT-IS) population. This cutoff avoided PCR detection of the inoculum itself in the absence of infection and improved the specificity of the assay to identify subjects with true RSV infection. </t>
    </r>
  </si>
  <si>
    <t>Descriptive</t>
  </si>
  <si>
    <t>Mixed-effects model</t>
  </si>
  <si>
    <t>Source</t>
  </si>
  <si>
    <t>X</t>
  </si>
  <si>
    <t>DOI: 10.1128/aac.01884-19</t>
  </si>
  <si>
    <t>A Randomized, Placebo-Controlled, Respiratory Syncytial Virus Human Challenge Study of the Antiviral Efficacy, Safety, and Pharmacokinetics of RV521, an Inhibitor of the RSV-F Protein</t>
  </si>
  <si>
    <t>DOI: 10.1093/infdis/jiaa716</t>
  </si>
  <si>
    <t>Safety and Antiviral Effects of Nebulized PC786 in a Respiratory Syncytial Virus Challenge Study</t>
  </si>
  <si>
    <t>EudraCT: 2012-001107-20</t>
  </si>
  <si>
    <t>A Phase 2a Randomised, Double-Blind, Placebo-Controlled Repeat Dose Trial of the Activity of MDT-637 in Healthy Subjects Challenged with RSV-A (Memphis 37b)</t>
  </si>
  <si>
    <t>DOI: 10.1093/infdis/jiy227</t>
  </si>
  <si>
    <t>Antiviral Activity of Oral JNJ-53718678 in Healthy Adult Volunteers Challenged With Respiratory Syncytial Virus: A Placebo-Controlled Study</t>
  </si>
  <si>
    <t>DOI: 10.1056/NEJMoa1401184</t>
  </si>
  <si>
    <t>Oral GS-5806 Activity in a Respiratory Syncytial Virus Challenge Study</t>
  </si>
  <si>
    <t>DOI: 10.1056/NEJMoa2108903</t>
  </si>
  <si>
    <t>EDP-938, a Respiratory Syncytial Virus Inhibitor, in a Human Virus Challenge</t>
  </si>
  <si>
    <t>EudraCT: 2015-004296-77</t>
  </si>
  <si>
    <t>A Randomised, Phase 2a, Double-Blind, Placebo-Controlled Study to Evaluate the Safety and Antiviral Activity Against Respiratory Syncytial Virus Infection, and the Pharmacokinetics of Multiple Oral Doses of BTA-C585 in the Virus Challenge Model</t>
  </si>
  <si>
    <t>DOI: 10.1056/NEJMoa1413275</t>
  </si>
  <si>
    <t>Activity of Oral ALS-008176 in a Respiratory Syncytial Virus Challenge Study</t>
  </si>
  <si>
    <t>Link</t>
  </si>
  <si>
    <t>Endpoints</t>
  </si>
  <si>
    <t>Reported TTE</t>
  </si>
  <si>
    <t>Formula for mean (column F)</t>
  </si>
  <si>
    <t>Inoculated on day 0
Dosing began on day 2</t>
  </si>
  <si>
    <t>From Figure 1: 
3.5 days after dosing</t>
  </si>
  <si>
    <t>Did not follow up as this study is being removed froom the meta-analysis</t>
  </si>
  <si>
    <t>Taken directly from Figure S6</t>
  </si>
  <si>
    <t>MT_PVL</t>
  </si>
  <si>
    <t>MT_PSS</t>
  </si>
  <si>
    <t>RR_VLAUC</t>
  </si>
  <si>
    <t>P_VL</t>
  </si>
  <si>
    <t>Title</t>
  </si>
  <si>
    <t>Total N</t>
  </si>
  <si>
    <t>First dose &gt; Day 12</t>
  </si>
  <si>
    <t>Study days</t>
  </si>
  <si>
    <t>log10 copies/ml</t>
  </si>
  <si>
    <t>The unit is comparable with PFUe.hr/ml per email from Elaine forwarded from Julie hViVO</t>
  </si>
  <si>
    <t>Reference</t>
  </si>
  <si>
    <t>completed. Taken directly from Figure S2 in the Supplementary Appendix</t>
  </si>
  <si>
    <t xml:space="preserve">Page 11 </t>
  </si>
  <si>
    <t>3.5 isfrom figure 1A and 2.7 (SD=1) is from table 1 (cohorts 1-4; time to RSV positivity)</t>
  </si>
  <si>
    <t>After screening, eligible participants were admitted to quar_x0002_antine unit on study day −2 or −1 and were inoculated intrana_x0002_sally with the RSV-A Memphis 37b virus on study day 0. Within 12 hours after confirmation of RSV positivity in nasal wash samples using a qualitative PCR (Simplexa Flu A/B &amp; RSV assay, Focus Diagnostics), or in the morning of study day 6 if remaining RSV-negative. mean of 1.5 to 6 days = 3.75</t>
  </si>
  <si>
    <t>Taken directly from Figure 2A (=4)</t>
  </si>
  <si>
    <t>From study day 2 until randomization, RSV infection was monitored twice daily in nasal washings using a Simplexa reverse-transcription quantitative polymerase chain reaction (RT-qPCR) assay. Participants received the first dose of either PC786 (5  mg) or placebo delivered by nebulizer (PARI LC SPRINT device) via facemask approximately 12 hours after de_x0002_tection of RSV or on the morning of day 6 (regardless of RSV infection status), whichever occurred first. Table 1: 97/24 = 4.04 (SD=0.917)</t>
  </si>
  <si>
    <t>2.5 + 4.04</t>
  </si>
  <si>
    <t>From Figure 2 (supplementary table):
2.5 days after dosing</t>
  </si>
  <si>
    <t>From Table 2:
2.68(SE =0.28, N= 19)</t>
  </si>
  <si>
    <t>mean of 2.5 to 5 = 3.75</t>
  </si>
  <si>
    <t>Taken directly from Table 2;
Unclear from the paper but from the REVC002 I worked out that dosing was 2 days after inoculation. 2.68 + 3.75</t>
  </si>
  <si>
    <t>From study day 2 until randomization, we monitored participants twice daily for RSV infection, using a Simplexa (Focus Diagnostics) qualitative reverse-transcriptase–polymerase-chain-reaction (RT-PCR) assay. The samples tested were fresh, nonfrozen, nasal washings. Participants underwent randomization and received the first dose of ALS-008176 or placebo approximately 12 hours after the qualitative detection of RSV or on the morning of day 6, whichever occurred first.time to RSV positivitry ranges from 2.5 to morning of  day 6 so we use a mean of 4</t>
  </si>
  <si>
    <t>3.5 + 4</t>
  </si>
  <si>
    <t>2.72 + 3.5</t>
  </si>
  <si>
    <t>The decision to start EDP-938 dosing was based on the detection of RSV by qualitative integrated cycler polymerase-chain-reaction (PCR) assay (3M Integrated Cycler, Focus Diagnostics)12 in nasal-wash samples from day 2 through the morning of day 5. Once RSV infection was identified by qualitative integrated cycler PCR, the participant was randomly assigned to one of three trial groups and received the first dose of EDP-938 or placebo. If RSV infection had not been identified in a participant by the morning of day 5, the participant was randomly assigned to a trial group and received the first dose 12 hours later. mean of 2 to 5 =3.5</t>
  </si>
  <si>
    <t>From Figure 1 Part A:
2.72 days after dosing</t>
  </si>
  <si>
    <t>AUC_total_symptom_score_pb</t>
  </si>
  <si>
    <t>Yes</t>
  </si>
  <si>
    <t>mean (Time to mean VL peak)</t>
  </si>
  <si>
    <t>Endpoint</t>
  </si>
  <si>
    <t xml:space="preserve">Dose </t>
  </si>
  <si>
    <t>SD_pbo</t>
  </si>
  <si>
    <t>SD_trt</t>
  </si>
  <si>
    <t>Page 11</t>
  </si>
  <si>
    <t>SD_delta_method</t>
  </si>
  <si>
    <t>ITT-IS (intention to treat infected, table 2)</t>
  </si>
  <si>
    <t>QC status by PK</t>
  </si>
  <si>
    <t>QC-ed</t>
  </si>
  <si>
    <t>log10 copies/ml*hrs</t>
  </si>
  <si>
    <t>Modified ITT</t>
  </si>
  <si>
    <t>Figure 1</t>
  </si>
  <si>
    <t>Table on page 14</t>
  </si>
  <si>
    <t>Supplementary table 2</t>
  </si>
  <si>
    <t>Mixed model adjusted mean</t>
  </si>
  <si>
    <t>Descriptive mean</t>
  </si>
  <si>
    <t>log10 PFUe.hour/ml</t>
  </si>
  <si>
    <t>Time to mean VL peak</t>
  </si>
  <si>
    <t>Inoculated on day 0</t>
  </si>
  <si>
    <t>Dosing began on day 2</t>
  </si>
  <si>
    <t>From Figure 1: </t>
  </si>
  <si>
    <t>3.5 days after dosing</t>
  </si>
  <si>
    <t>From Figure 1 Part A:</t>
  </si>
  <si>
    <t>2.72 days after dosing</t>
  </si>
  <si>
    <t>From study day 2 until randomization, RSV infection was monitored twice daily in nasal washings using a Simplexa reverse-transcription quantitative polymerase chain reaction (RT-qPCR) assay. Participants received the first dose of either PC786 (5  mg) or placebo delivered by nebulizer (PARI LC SPRINT device) via facemask approximately 12 hours after detection of RSV or on the morning of day 6 (regardless of RSV infection status), whichever occurred first. Table 1: 97/24 = 4.04 (SD=0.917)</t>
  </si>
  <si>
    <t>From Figure 2:</t>
  </si>
  <si>
    <t>3 days after first dose</t>
  </si>
  <si>
    <t>Taken directly from Table 2;</t>
  </si>
  <si>
    <t>Unclear from the paper but from the REVC002 I worked out that dosing was 2 days after inoculation. 3 + 3.75</t>
  </si>
  <si>
    <t>Inoculated on day 0, Dosing began on day 2</t>
  </si>
  <si>
    <t>2.5 days after dosing, From Figure 2 (supplementary table):</t>
  </si>
  <si>
    <t>From Table 3 this should be 1.83;</t>
  </si>
  <si>
    <t>Supplementary Figure 2B</t>
  </si>
  <si>
    <t>Figure 1 second slab</t>
  </si>
  <si>
    <t>time to mean total symptom score peak</t>
  </si>
  <si>
    <t>Figure 1A second plot</t>
  </si>
  <si>
    <t>Start day</t>
  </si>
  <si>
    <t>From inoculation</t>
  </si>
  <si>
    <t>From first dose</t>
  </si>
  <si>
    <t xml:space="preserve">No need to add </t>
  </si>
  <si>
    <t>Need to add time from inoculation to time to first dose</t>
  </si>
  <si>
    <t>time from inoculation to first dose</t>
  </si>
  <si>
    <t>From study day 2 until randomization, we monitored participants twice daily for RSV infection, using a Simplexa (Focus Diagnostics) qualitative reverse-transcriptase–polymerase-chain-reaction (RT-PCR) assay. The samples tested were fresh, nonfrozen, nasal washings. Participants underwent randomization and received the first dose of ALS-008176 or placebo approximately 12 hours after the qualitative detection of RSV or on the morning of day 6, whichever occurred first.time to RSV positivitry ranges from 2.5 to morning of  day 6.5 so we use a mean of 4.25</t>
  </si>
  <si>
    <t>3.5 + 4.25</t>
  </si>
  <si>
    <t>The decision to start EDP-938 dosing was based on the detection of RSV by qualitative integrated cycler polymerase-chain-reaction (PCR) assay (3M Integrated Cycler, Focus Diagnostics)12 in nasal-wash samples from day 2 through the morning of day 5. Once RSV infection was identified by qualitative integrated cycler PCR, the participant was randomly assigned to one of three trial groups and received the first dose of EDP-938 or placebo. If RSV infection had not been identified in a participant by the morning of day 5, the participant was randomly assigned to a trial group and received the first dose 12 hours later. mean of 2 to 6 =4</t>
  </si>
  <si>
    <t>2.72 + 4</t>
  </si>
  <si>
    <t>After screening, eligible participants were admitted to quarantine unit on study day −2 or −1 and were inoculated intranasally with the RSV-A Memphis 37b virus on study day 0. Within 12 hours after confirmation of RSV positivity in nasal wash samples using a qualitative PCR (Simplexa Flu A/B &amp; RSV assay, Focus Diagnostics), or in the morning of study day 6 if remaining RSV-negative. mean of 1.5 to 6.5 days = 4</t>
  </si>
  <si>
    <t>4+4</t>
  </si>
  <si>
    <t>time to mean total symptom score peak reported</t>
  </si>
  <si>
    <t>Timeframe</t>
  </si>
  <si>
    <t>Treatment Group</t>
  </si>
  <si>
    <t>Unit</t>
  </si>
  <si>
    <t xml:space="preserve"> SD_trt</t>
  </si>
  <si>
    <t>Symptoms</t>
  </si>
  <si>
    <t>AUC of symptom score from baseline through day 16</t>
  </si>
  <si>
    <t>First dose &gt; Day 16</t>
  </si>
  <si>
    <t>Placebo</t>
  </si>
  <si>
    <t>change in score * hr</t>
  </si>
  <si>
    <t>AUC of subset symptom scores</t>
  </si>
  <si>
    <t>score * hr</t>
  </si>
  <si>
    <t>AUC for the mean total symptom score</t>
  </si>
  <si>
    <t>Placebo (Part 1)</t>
  </si>
  <si>
    <t>Symptoms are recorded on the symptom diary cards, assessed 3 times daily for Day 1 to Day 11 (and once for Day 12). The following types of symptoms are recorded (on a grading scale, 0 to 3 (or 0 to 4 for the Shortness of Breath symptom)): Upper Respiratory Tract (URT): runny nose, stuffy nose, sore throat, sneezing, earache.  Lower Respiratory Tract (LRT): cough, shortness of breath. Systemic: headache, malaise, muscle/joint ache/stiffness. </t>
  </si>
  <si>
    <t>AUC of change in symptom-diary score after first dose</t>
  </si>
  <si>
    <t>Placebo (Cohorts 1-4)</t>
  </si>
  <si>
    <t>Both trt and pbo SD calculated from SE * sqrt(n) &gt; 60.5*SQRT(27) / 46*SQRT(27)</t>
  </si>
  <si>
    <r>
      <t>The symptom diary</t>
    </r>
    <r>
      <rPr>
        <sz val="8"/>
        <color theme="1"/>
        <rFont val="TimesNewRomanPSMT"/>
      </rPr>
      <t xml:space="preserve">1,2 </t>
    </r>
    <r>
      <rPr>
        <sz val="12"/>
        <color theme="1"/>
        <rFont val="TimesNewRomanPSMT"/>
      </rPr>
      <t xml:space="preserve">was completed 4-times daily throughout quarantine; 10 symptoms (runny nose, stuffy nose, sneezing, sore throat, earache, malaise [tiredness], cough, shortness of breath, headache, and muscle and/or joint ache) were each scored from 0 (no symptoms) to 3 (quite bothersome most/all of the time). Total symptom scores (0-30) were the average score of questions answered by each subject, multiplied by 10. </t>
    </r>
  </si>
  <si>
    <t>AUC of symptom score</t>
  </si>
  <si>
    <t>Means are LS means</t>
  </si>
  <si>
    <t>Symptoms
Runny nose
Stuffy nose Sneezing
Sore throat Earache
Malaise (tiredness) Cough
Shortness of breath Headache
Muscle and/or joint ache
I have NO symptoms
Just noticeable
It is clearly bothersome from time to time, but it does not stop me from participating in activities
It is quite bothersome most of the time, and it stops me from participating in activities</t>
  </si>
  <si>
    <t>AUC total symptom score</t>
  </si>
  <si>
    <r>
      <t>Both trt and pbo</t>
    </r>
    <r>
      <rPr>
        <b/>
        <sz val="11"/>
        <color theme="1"/>
        <rFont val="Calibri"/>
        <family val="2"/>
        <scheme val="minor"/>
      </rPr>
      <t xml:space="preserve"> </t>
    </r>
    <r>
      <rPr>
        <sz val="11"/>
        <color theme="1"/>
        <rFont val="Calibri"/>
        <family val="2"/>
        <scheme val="minor"/>
      </rPr>
      <t>SD calculated from SE * sqrt(n) &gt; 111.59*SQRT(19) / 24.45*SQRT(16)</t>
    </r>
  </si>
  <si>
    <t>10-item dairy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</si>
</sst>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u/>
      <sz val="11"/>
      <color theme="10"/>
      <name val="Calibri"/>
      <family val="2"/>
      <scheme val="minor"/>
    </font>
    <font>
      <sz val="10"/>
      <color theme="1"/>
      <name val="MinionPro"/>
    </font>
    <font>
      <sz val="9"/>
      <color theme="1"/>
      <name val="MyriadPro"/>
    </font>
    <font>
      <sz val="6"/>
      <color theme="1"/>
      <name val="MinionPro"/>
    </font>
    <font>
      <sz val="11"/>
      <name val="Calibri"/>
      <family val="2"/>
      <scheme val="minor"/>
    </font>
    <font>
      <sz val="11"/>
      <color rgb="FFFF0000"/>
      <name val="Calibri (Body)"/>
    </font>
    <font>
      <strike/>
      <sz val="11"/>
      <color theme="1"/>
      <name val="Calibri"/>
      <family val="2"/>
      <scheme val="minor"/>
    </font>
    <font>
      <strike/>
      <u/>
      <sz val="11"/>
      <color theme="10"/>
      <name val="Calibri"/>
      <family val="2"/>
      <scheme val="minor"/>
    </font>
    <font>
      <sz val="13"/>
      <color theme="1"/>
      <name val="Helvetica Neue"/>
      <family val="2"/>
    </font>
    <font>
      <sz val="12"/>
      <color theme="1"/>
      <name val="TimesNewRomanPSMT"/>
    </font>
    <font>
      <sz val="8"/>
      <color theme="1"/>
      <name val="TimesNewRomanPSM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4">
    <xf numFmtId="0" fontId="0" fillId="0" borderId="0" xfId="0"/>
    <xf numFmtId="0" fontId="0" fillId="0" borderId="0" xfId="0" applyAlignment="1">
      <alignment horizontal="left"/>
    </xf>
    <xf numFmtId="16" fontId="0" fillId="0" borderId="0" xfId="0" applyNumberFormat="1"/>
    <xf numFmtId="2" fontId="0" fillId="0" borderId="0" xfId="0" applyNumberFormat="1" applyAlignment="1">
      <alignment horizontal="left"/>
    </xf>
    <xf numFmtId="0" fontId="0" fillId="33" borderId="0" xfId="0" applyFill="1" applyAlignment="1">
      <alignment horizontal="left"/>
    </xf>
    <xf numFmtId="0" fontId="18" fillId="0" borderId="0" xfId="0" applyFont="1" applyAlignment="1">
      <alignment horizontal="left"/>
    </xf>
    <xf numFmtId="2" fontId="0" fillId="34" borderId="0" xfId="0" applyNumberFormat="1" applyFill="1" applyAlignment="1">
      <alignment horizontal="left"/>
    </xf>
    <xf numFmtId="0" fontId="19" fillId="0" borderId="0" xfId="42"/>
    <xf numFmtId="0" fontId="20" fillId="0" borderId="0" xfId="0" applyFont="1"/>
    <xf numFmtId="0" fontId="21" fillId="0" borderId="0" xfId="0" applyFont="1"/>
    <xf numFmtId="0" fontId="14" fillId="0" borderId="0" xfId="0" applyFont="1" applyAlignment="1">
      <alignment horizontal="left"/>
    </xf>
    <xf numFmtId="2" fontId="14" fillId="0" borderId="0" xfId="0" applyNumberFormat="1" applyFont="1" applyAlignment="1">
      <alignment horizontal="left"/>
    </xf>
    <xf numFmtId="0" fontId="14" fillId="0" borderId="0" xfId="0" applyFont="1"/>
    <xf numFmtId="0" fontId="19" fillId="0" borderId="0" xfId="42" applyFill="1"/>
    <xf numFmtId="2" fontId="0" fillId="0" borderId="0" xfId="0" applyNumberFormat="1" applyAlignment="1">
      <alignment horizontal="left" wrapText="1"/>
    </xf>
    <xf numFmtId="0" fontId="23" fillId="0" borderId="0" xfId="0" applyFont="1" applyAlignment="1">
      <alignment horizontal="left" wrapText="1"/>
    </xf>
    <xf numFmtId="0" fontId="0" fillId="0" borderId="0" xfId="0" applyAlignment="1">
      <alignment horizontal="left" wrapText="1"/>
    </xf>
    <xf numFmtId="0" fontId="23" fillId="0" borderId="0" xfId="0" applyFont="1"/>
    <xf numFmtId="0" fontId="24" fillId="0" borderId="0" xfId="0" applyFont="1" applyAlignment="1">
      <alignment horizontal="left"/>
    </xf>
    <xf numFmtId="0" fontId="19" fillId="0" borderId="0" xfId="42" applyAlignment="1">
      <alignment horizontal="left"/>
    </xf>
    <xf numFmtId="0" fontId="25" fillId="0" borderId="0" xfId="0" applyFont="1"/>
    <xf numFmtId="0" fontId="25" fillId="0" borderId="0" xfId="0" applyFont="1" applyAlignment="1">
      <alignment horizontal="left"/>
    </xf>
    <xf numFmtId="2" fontId="25" fillId="0" borderId="0" xfId="0" applyNumberFormat="1" applyFont="1" applyAlignment="1">
      <alignment horizontal="left"/>
    </xf>
    <xf numFmtId="2" fontId="14" fillId="0" borderId="0" xfId="0" applyNumberFormat="1" applyFont="1" applyAlignment="1">
      <alignment horizontal="left" wrapText="1"/>
    </xf>
    <xf numFmtId="0" fontId="0" fillId="0" borderId="0" xfId="0" applyAlignment="1">
      <alignment wrapText="1"/>
    </xf>
    <xf numFmtId="2" fontId="0" fillId="0" borderId="0" xfId="0" applyNumberFormat="1" applyAlignment="1">
      <alignment horizontal="left" vertical="top" wrapText="1"/>
    </xf>
    <xf numFmtId="0" fontId="26" fillId="0" borderId="0" xfId="42" applyFont="1" applyFill="1"/>
    <xf numFmtId="0" fontId="0" fillId="0" borderId="0" xfId="0" applyAlignment="1">
      <alignment horizontal="center"/>
    </xf>
    <xf numFmtId="0" fontId="0" fillId="0" borderId="0" xfId="0"/>
    <xf numFmtId="0" fontId="14" fillId="0" borderId="0" xfId="0" applyFont="1"/>
    <xf numFmtId="0" fontId="0" fillId="34" borderId="0" xfId="0" applyFill="1" applyAlignment="1">
      <alignment horizontal="left"/>
    </xf>
    <xf numFmtId="0" fontId="23" fillId="34" borderId="0" xfId="0" applyFont="1" applyFill="1" applyAlignment="1">
      <alignment horizontal="left"/>
    </xf>
    <xf numFmtId="0" fontId="27" fillId="0" borderId="0" xfId="0" applyFont="1"/>
    <xf numFmtId="0" fontId="2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Quinn, Mark" id="{E5439AAB-CEF3-2943-AEF8-5B7B9AF5BEFE}" userId="Mark.Quinn@pfizer.com" providerId="PeoplePicker"/>
  <person displayName="Kundu, Prosenjit" id="{374B12B4-4256-4256-86A5-A8A29F8544E0}" userId="Prosenjit.Kundu@pfizer.com" providerId="PeoplePicker"/>
  <person displayName="Banerjee, Anindita" id="{E633EAEE-1ECA-8D41-91D2-ADDD638A657A}" userId="S::BANERA03@pfizer.com::9ce8eb1d-ca6b-4ce5-b611-aa4e822347ca" providerId="AD"/>
  <person displayName="Quinn, Mark" id="{3A48605B-8321-468D-B38C-2015BFB97310}" userId="S::QUINNM28@pfizer.com::fb5f6ad2-e91e-4a00-8749-6f68b1d1c49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12-15T14:01:03.19" personId="{3A48605B-8321-468D-B38C-2015BFB97310}" id="{2545A9A7-73B6-44FF-927C-7EAB368C78F4}">
    <text>Include two placebo groups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12-01T12:25:36.71" personId="{3A48605B-8321-468D-B38C-2015BFB97310}" id="{52CCF9B8-1046-4808-8111-F7B78EBF310A}">
    <text>@Kundu, Prosenjit Anindita wants the highest dose on each study compared for treatment effect VL AUC, here is where we need the Delta method</text>
    <mentions>
      <mention mentionpersonId="{374B12B4-4256-4256-86A5-A8A29F8544E0}" mentionId="{165D876C-37C9-4991-852C-535CF8FEA1F2}" startIndex="0" length="17"/>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H3" dT="2023-12-22T17:51:20.48" personId="{E633EAEE-1ECA-8D41-91D2-ADDD638A657A}" id="{97E55222-4BA9-4689-855F-5CF048A63AF6}">
    <text>@Quinn, Mark - I need to understand the SD calculation and how you are getting these ranges. I am unable to confirm.</text>
    <mentions>
      <mention mentionpersonId="{E5439AAB-CEF3-2943-AEF8-5B7B9AF5BEFE}" mentionId="{52A7F516-CBE2-4D0B-B876-AC711A1A6FB8}" startIndex="0" length="12"/>
    </mentions>
  </threadedComment>
  <threadedComment ref="D4" dT="2023-12-14T09:56:45.13" personId="{3A48605B-8321-468D-B38C-2015BFB97310}" id="{FE2D2717-6B35-45BB-860E-67EBF6FC0F3D}">
    <text>After review I think this should be 27, see Table 2</text>
  </threadedComment>
  <threadedComment ref="D4" dT="2023-12-21T22:18:28.30" personId="{E633EAEE-1ECA-8D41-91D2-ADDD638A657A}" id="{ED69A284-6112-4654-BB1C-FD0D2A9EA1D6}" parentId="{FE2D2717-6B35-45BB-860E-67EBF6FC0F3D}">
    <text>@Quinn, Mark you are correct. It is updated</text>
    <mentions>
      <mention mentionpersonId="{E5439AAB-CEF3-2943-AEF8-5B7B9AF5BEFE}" mentionId="{047B98DC-C5BE-4F56-9A53-8227E3718E71}" startIndex="0" length="12"/>
    </mentions>
  </threadedComment>
  <threadedComment ref="L7" dT="2023-12-21T22:58:04.97" personId="{E633EAEE-1ECA-8D41-91D2-ADDD638A657A}" id="{0C7A4A63-6AF8-42BE-8D6E-C1BC3507CB8D}">
    <text>@Quinn, Mark - can you check 2.5 from the supplementary figure 1/2 using your graphical tool. It seems 2.5 if I review the figure with my eyes. Thank you</text>
    <mentions>
      <mention mentionpersonId="{E5439AAB-CEF3-2943-AEF8-5B7B9AF5BEFE}" mentionId="{A56916C9-05F7-47E9-9B21-3400A19602CD}" startIndex="0" length="12"/>
    </mentions>
  </threadedComment>
  <threadedComment ref="E8" dT="2023-12-14T13:06:38.50" personId="{3A48605B-8321-468D-B38C-2015BFB97310}" id="{5C307903-CEE0-4880-A73E-4F3AF75E1A7E}">
    <text>I think this should be 4.68</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clinicaltrialsregister.eu/ctr-search/trial/2012-001107-20/results" TargetMode="External"/><Relationship Id="rId3" Type="http://schemas.openxmlformats.org/officeDocument/2006/relationships/hyperlink" Target="https://journals.asm.org/doi/10.1128/aac.01884-19" TargetMode="External"/><Relationship Id="rId7" Type="http://schemas.openxmlformats.org/officeDocument/2006/relationships/hyperlink" Target="https://www.clinicaltrialsregister.eu/ctr-search/trial/2015-004296-77/results" TargetMode="External"/><Relationship Id="rId2" Type="http://schemas.openxmlformats.org/officeDocument/2006/relationships/hyperlink" Target="https://academic.oup.com/jid/article/218/5/748/4976583" TargetMode="External"/><Relationship Id="rId1" Type="http://schemas.openxmlformats.org/officeDocument/2006/relationships/hyperlink" Target="https://www.nejm.org/doi/full/10.1056/NEJMoa1413275" TargetMode="External"/><Relationship Id="rId6" Type="http://schemas.openxmlformats.org/officeDocument/2006/relationships/hyperlink" Target="https://academic.oup.com/jid/article/225/12/2087/5995608" TargetMode="External"/><Relationship Id="rId5" Type="http://schemas.openxmlformats.org/officeDocument/2006/relationships/hyperlink" Target="https://www.nejm.org/doi/full/10.1056/nejmoa1401184" TargetMode="External"/><Relationship Id="rId4" Type="http://schemas.openxmlformats.org/officeDocument/2006/relationships/hyperlink" Target="https://www.nejm.org/doi/full/10.1056/nejmoa210890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ncbi.nlm.nih.gov/pmc/articles/PMC6985722/pdf/AAC.01884-19.pdf" TargetMode="External"/><Relationship Id="rId7" Type="http://schemas.openxmlformats.org/officeDocument/2006/relationships/hyperlink" Target="https://pubmed.ncbi.nlm.nih.gov/29684148/" TargetMode="External"/><Relationship Id="rId2" Type="http://schemas.openxmlformats.org/officeDocument/2006/relationships/hyperlink" Target="https://www.ncbi.nlm.nih.gov/pmc/articles/PMC9200148/pdf/jiaa716.pdf" TargetMode="External"/><Relationship Id="rId1" Type="http://schemas.openxmlformats.org/officeDocument/2006/relationships/hyperlink" Target="https://www.nejm.org/doi/full/10.1056/nejmoa1401184" TargetMode="External"/><Relationship Id="rId6" Type="http://schemas.openxmlformats.org/officeDocument/2006/relationships/hyperlink" Target="https://www.nejm.org/doi/full/10.1056/nejmoa2108903" TargetMode="External"/><Relationship Id="rId11" Type="http://schemas.microsoft.com/office/2017/10/relationships/threadedComment" Target="../threadedComments/threadedComment1.xml"/><Relationship Id="rId5" Type="http://schemas.openxmlformats.org/officeDocument/2006/relationships/hyperlink" Target="https://www.clinicaltrialsregister.eu/ctr-search/trial/2015-004296-77/results" TargetMode="External"/><Relationship Id="rId10" Type="http://schemas.openxmlformats.org/officeDocument/2006/relationships/comments" Target="../comments1.xml"/><Relationship Id="rId4" Type="http://schemas.openxmlformats.org/officeDocument/2006/relationships/hyperlink" Target="https://www.nejm.org/doi/full/10.1056/NEJMoa141327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www.nejm.org/doi/full/10.1056/NEJMoa1413275" TargetMode="External"/><Relationship Id="rId7" Type="http://schemas.openxmlformats.org/officeDocument/2006/relationships/comments" Target="../comments2.xml"/><Relationship Id="rId2" Type="http://schemas.openxmlformats.org/officeDocument/2006/relationships/hyperlink" Target="https://www.ncbi.nlm.nih.gov/pmc/articles/PMC6985722/pdf/AAC.01884-19.pdf" TargetMode="External"/><Relationship Id="rId1" Type="http://schemas.openxmlformats.org/officeDocument/2006/relationships/hyperlink" Target="https://www.ncbi.nlm.nih.gov/pmc/articles/PMC9200148/pdf/jiaa716.pdf" TargetMode="External"/><Relationship Id="rId6" Type="http://schemas.openxmlformats.org/officeDocument/2006/relationships/vmlDrawing" Target="../drawings/vmlDrawing2.vml"/><Relationship Id="rId5" Type="http://schemas.openxmlformats.org/officeDocument/2006/relationships/hyperlink" Target="https://pubmed.ncbi.nlm.nih.gov/29684148/" TargetMode="External"/><Relationship Id="rId4" Type="http://schemas.openxmlformats.org/officeDocument/2006/relationships/hyperlink" Target="https://www.nejm.org/doi/full/10.1056/nejmoa1401184"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C06B-D7B2-4256-88BD-0F94577FD32B}">
  <dimension ref="A1:J10"/>
  <sheetViews>
    <sheetView zoomScale="80" zoomScaleNormal="80" workbookViewId="0">
      <selection activeCell="D4" sqref="D4"/>
    </sheetView>
  </sheetViews>
  <sheetFormatPr baseColWidth="10" defaultColWidth="8.83203125" defaultRowHeight="15"/>
  <cols>
    <col min="1" max="1" width="27.5" customWidth="1"/>
    <col min="2" max="2" width="13.5" bestFit="1" customWidth="1"/>
    <col min="3" max="3" width="90.83203125" customWidth="1"/>
    <col min="4" max="4" width="31.5" bestFit="1" customWidth="1"/>
    <col min="5" max="5" width="8.1640625" bestFit="1" customWidth="1"/>
    <col min="6" max="6" width="5.5" bestFit="1" customWidth="1"/>
    <col min="7" max="8" width="8.5" bestFit="1" customWidth="1"/>
    <col min="9" max="9" width="10.5" bestFit="1" customWidth="1"/>
  </cols>
  <sheetData>
    <row r="1" spans="1:10">
      <c r="F1" s="27" t="s">
        <v>126</v>
      </c>
      <c r="G1" s="27"/>
      <c r="H1" s="27"/>
      <c r="I1" s="27"/>
    </row>
    <row r="2" spans="1:10">
      <c r="A2" t="s">
        <v>0</v>
      </c>
      <c r="B2" t="s">
        <v>1</v>
      </c>
      <c r="C2" t="s">
        <v>137</v>
      </c>
      <c r="D2" t="s">
        <v>125</v>
      </c>
      <c r="E2" t="s">
        <v>138</v>
      </c>
      <c r="F2" t="s">
        <v>136</v>
      </c>
      <c r="G2" t="s">
        <v>133</v>
      </c>
      <c r="H2" t="s">
        <v>134</v>
      </c>
      <c r="I2" t="s">
        <v>135</v>
      </c>
      <c r="J2" t="s">
        <v>160</v>
      </c>
    </row>
    <row r="3" spans="1:10">
      <c r="A3" t="s">
        <v>10</v>
      </c>
      <c r="B3" t="s">
        <v>11</v>
      </c>
      <c r="C3" t="s">
        <v>124</v>
      </c>
      <c r="D3" s="13" t="s">
        <v>123</v>
      </c>
      <c r="E3">
        <v>62</v>
      </c>
      <c r="F3" t="s">
        <v>108</v>
      </c>
      <c r="G3" t="s">
        <v>108</v>
      </c>
      <c r="I3" t="s">
        <v>108</v>
      </c>
    </row>
    <row r="4" spans="1:10">
      <c r="A4" t="s">
        <v>15</v>
      </c>
      <c r="B4" t="s">
        <v>16</v>
      </c>
      <c r="C4" t="s">
        <v>122</v>
      </c>
      <c r="D4" s="13" t="s">
        <v>121</v>
      </c>
      <c r="E4">
        <v>60</v>
      </c>
      <c r="F4" t="s">
        <v>108</v>
      </c>
      <c r="H4" t="s">
        <v>108</v>
      </c>
      <c r="I4" t="s">
        <v>108</v>
      </c>
    </row>
    <row r="5" spans="1:10">
      <c r="A5" s="17" t="s">
        <v>17</v>
      </c>
      <c r="B5" t="s">
        <v>18</v>
      </c>
      <c r="C5" t="s">
        <v>120</v>
      </c>
      <c r="D5" s="13" t="s">
        <v>119</v>
      </c>
      <c r="E5">
        <v>115</v>
      </c>
      <c r="F5" t="s">
        <v>108</v>
      </c>
      <c r="G5" t="s">
        <v>108</v>
      </c>
      <c r="I5" t="s">
        <v>108</v>
      </c>
      <c r="J5" t="s">
        <v>161</v>
      </c>
    </row>
    <row r="6" spans="1:10">
      <c r="A6" t="s">
        <v>22</v>
      </c>
      <c r="B6" t="s">
        <v>23</v>
      </c>
      <c r="C6" t="s">
        <v>118</v>
      </c>
      <c r="D6" s="13" t="s">
        <v>117</v>
      </c>
      <c r="E6">
        <v>140</v>
      </c>
      <c r="F6" t="s">
        <v>108</v>
      </c>
      <c r="G6" t="s">
        <v>108</v>
      </c>
      <c r="I6" t="s">
        <v>108</v>
      </c>
    </row>
    <row r="7" spans="1:10">
      <c r="A7" t="s">
        <v>24</v>
      </c>
      <c r="B7" t="s">
        <v>25</v>
      </c>
      <c r="C7" t="s">
        <v>116</v>
      </c>
      <c r="D7" s="13" t="s">
        <v>115</v>
      </c>
      <c r="E7">
        <v>45</v>
      </c>
      <c r="F7" t="s">
        <v>108</v>
      </c>
      <c r="G7" t="s">
        <v>108</v>
      </c>
      <c r="H7" t="s">
        <v>108</v>
      </c>
      <c r="I7" t="s">
        <v>108</v>
      </c>
    </row>
    <row r="8" spans="1:10" s="20" customFormat="1">
      <c r="A8" s="20" t="s">
        <v>70</v>
      </c>
      <c r="B8" s="20" t="s">
        <v>71</v>
      </c>
      <c r="C8" s="20" t="s">
        <v>114</v>
      </c>
      <c r="D8" s="26" t="s">
        <v>113</v>
      </c>
      <c r="E8" s="20">
        <v>143</v>
      </c>
      <c r="H8" s="20" t="s">
        <v>108</v>
      </c>
    </row>
    <row r="9" spans="1:10">
      <c r="A9" t="s">
        <v>31</v>
      </c>
      <c r="B9" t="s">
        <v>32</v>
      </c>
      <c r="C9" t="s">
        <v>112</v>
      </c>
      <c r="D9" s="13" t="s">
        <v>111</v>
      </c>
      <c r="E9">
        <v>56</v>
      </c>
      <c r="F9" t="s">
        <v>108</v>
      </c>
      <c r="G9" t="s">
        <v>108</v>
      </c>
      <c r="I9" t="s">
        <v>108</v>
      </c>
    </row>
    <row r="10" spans="1:10">
      <c r="A10" t="s">
        <v>33</v>
      </c>
      <c r="B10" t="s">
        <v>34</v>
      </c>
      <c r="C10" t="s">
        <v>110</v>
      </c>
      <c r="D10" s="13" t="s">
        <v>109</v>
      </c>
      <c r="E10">
        <v>66</v>
      </c>
      <c r="F10" t="s">
        <v>108</v>
      </c>
      <c r="G10" t="s">
        <v>108</v>
      </c>
      <c r="H10" t="s">
        <v>108</v>
      </c>
      <c r="I10" t="s">
        <v>108</v>
      </c>
    </row>
  </sheetData>
  <mergeCells count="1">
    <mergeCell ref="F1:I1"/>
  </mergeCells>
  <hyperlinks>
    <hyperlink ref="D3" r:id="rId1" xr:uid="{E94DA797-2BDB-47D6-81C6-653968872664}"/>
    <hyperlink ref="D7" r:id="rId2" xr:uid="{6B330BAF-BF27-4927-8305-AC8DAF3C90A0}"/>
    <hyperlink ref="D10" r:id="rId3" xr:uid="{6931A707-71B3-4D04-A550-11D77AABB397}"/>
    <hyperlink ref="D5" r:id="rId4" xr:uid="{6C063FC1-A1C1-4135-BDAF-75969C85C756}"/>
    <hyperlink ref="D6" r:id="rId5" xr:uid="{04168223-1E96-4A21-9EC0-F967DB0B6058}"/>
    <hyperlink ref="D9" r:id="rId6" xr:uid="{A17D46DF-0975-4E15-842A-7394311191D0}"/>
    <hyperlink ref="D4" r:id="rId7" xr:uid="{193AD20E-420E-46BE-8111-A0158C608C44}"/>
    <hyperlink ref="D8" r:id="rId8" xr:uid="{6E73695F-BFB0-4AA7-92F1-B55328B0AFCA}"/>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A8B1-EBCB-4F49-BD1B-4D745AB33DC8}">
  <dimension ref="A1:Q8"/>
  <sheetViews>
    <sheetView workbookViewId="0">
      <selection activeCell="E14" sqref="E14"/>
    </sheetView>
  </sheetViews>
  <sheetFormatPr baseColWidth="10" defaultColWidth="8.83203125" defaultRowHeight="15"/>
  <cols>
    <col min="1" max="1" width="25.83203125" bestFit="1" customWidth="1"/>
    <col min="2" max="2" width="14.5" bestFit="1" customWidth="1"/>
    <col min="3" max="3" width="8" bestFit="1" customWidth="1"/>
    <col min="4" max="4" width="8" customWidth="1"/>
    <col min="5" max="5" width="3" bestFit="1" customWidth="1"/>
    <col min="6" max="6" width="21.1640625" customWidth="1"/>
    <col min="7" max="7" width="17.5" bestFit="1" customWidth="1"/>
    <col min="8" max="8" width="8" bestFit="1" customWidth="1"/>
    <col min="9" max="9" width="14.5" bestFit="1" customWidth="1"/>
    <col min="10" max="10" width="28.5" bestFit="1" customWidth="1"/>
    <col min="11" max="11" width="6.5" bestFit="1" customWidth="1"/>
    <col min="13" max="13" width="61.5" customWidth="1"/>
    <col min="14" max="14" width="30.5" customWidth="1"/>
    <col min="15" max="15" width="17.5" customWidth="1"/>
    <col min="16" max="16" width="14" customWidth="1"/>
  </cols>
  <sheetData>
    <row r="1" spans="1:17">
      <c r="A1" t="s">
        <v>0</v>
      </c>
      <c r="B1" s="1" t="s">
        <v>1</v>
      </c>
      <c r="C1" s="1" t="s">
        <v>2</v>
      </c>
      <c r="D1" s="1" t="s">
        <v>46</v>
      </c>
      <c r="E1" s="1" t="s">
        <v>3</v>
      </c>
      <c r="F1" s="1" t="s">
        <v>4</v>
      </c>
      <c r="G1" s="1" t="s">
        <v>5</v>
      </c>
      <c r="H1" s="1" t="s">
        <v>6</v>
      </c>
      <c r="I1" s="1" t="s">
        <v>7</v>
      </c>
      <c r="J1" s="1" t="s">
        <v>8</v>
      </c>
      <c r="K1" s="1" t="s">
        <v>9</v>
      </c>
      <c r="L1" s="1" t="s">
        <v>72</v>
      </c>
      <c r="M1" s="1" t="s">
        <v>93</v>
      </c>
      <c r="N1" s="1" t="s">
        <v>94</v>
      </c>
      <c r="O1" s="1" t="s">
        <v>87</v>
      </c>
      <c r="P1" s="1" t="s">
        <v>88</v>
      </c>
      <c r="Q1" s="1" t="s">
        <v>107</v>
      </c>
    </row>
    <row r="2" spans="1:17">
      <c r="A2" t="s">
        <v>10</v>
      </c>
      <c r="B2" s="1" t="s">
        <v>11</v>
      </c>
      <c r="C2" s="1" t="s">
        <v>12</v>
      </c>
      <c r="D2" s="1"/>
      <c r="E2" s="1">
        <v>12</v>
      </c>
      <c r="F2" s="3">
        <v>500.9</v>
      </c>
      <c r="G2" s="1" t="s">
        <v>55</v>
      </c>
      <c r="H2" s="1" t="s">
        <v>14</v>
      </c>
      <c r="I2" s="1">
        <v>219.9</v>
      </c>
      <c r="J2" s="1" t="s">
        <v>14</v>
      </c>
      <c r="K2" s="3">
        <v>219.9</v>
      </c>
      <c r="L2" s="1" t="s">
        <v>73</v>
      </c>
      <c r="M2" s="7" t="s">
        <v>81</v>
      </c>
      <c r="N2" s="1" t="s">
        <v>96</v>
      </c>
      <c r="O2" s="1" t="s">
        <v>106</v>
      </c>
      <c r="P2" t="s">
        <v>92</v>
      </c>
      <c r="Q2" t="s">
        <v>102</v>
      </c>
    </row>
    <row r="3" spans="1:17">
      <c r="A3" t="s">
        <v>15</v>
      </c>
      <c r="B3" s="1" t="s">
        <v>16</v>
      </c>
      <c r="C3" s="1" t="s">
        <v>12</v>
      </c>
      <c r="D3" s="1"/>
      <c r="E3" s="1">
        <v>13</v>
      </c>
      <c r="F3" s="11">
        <v>756.40499999999997</v>
      </c>
      <c r="G3" s="18" t="s">
        <v>141</v>
      </c>
      <c r="H3" s="1" t="s">
        <v>14</v>
      </c>
      <c r="I3" s="1">
        <v>213.34</v>
      </c>
      <c r="J3" s="1" t="s">
        <v>14</v>
      </c>
      <c r="K3" s="3">
        <f>I3</f>
        <v>213.34</v>
      </c>
      <c r="L3" s="1" t="s">
        <v>73</v>
      </c>
      <c r="M3" s="7" t="s">
        <v>77</v>
      </c>
      <c r="N3" t="s">
        <v>142</v>
      </c>
      <c r="O3" t="s">
        <v>105</v>
      </c>
      <c r="Q3" t="s">
        <v>145</v>
      </c>
    </row>
    <row r="4" spans="1:17">
      <c r="A4" t="s">
        <v>17</v>
      </c>
      <c r="B4" s="1" t="s">
        <v>18</v>
      </c>
      <c r="C4" s="1" t="s">
        <v>12</v>
      </c>
      <c r="D4" s="1"/>
      <c r="E4" s="1">
        <v>30</v>
      </c>
      <c r="F4" s="11">
        <v>790.2</v>
      </c>
      <c r="G4" s="18" t="s">
        <v>141</v>
      </c>
      <c r="H4" s="1" t="s">
        <v>14</v>
      </c>
      <c r="I4" s="10">
        <v>408.8</v>
      </c>
      <c r="J4" s="1" t="s">
        <v>14</v>
      </c>
      <c r="K4" s="11">
        <f>I4</f>
        <v>408.8</v>
      </c>
      <c r="L4" s="1" t="s">
        <v>73</v>
      </c>
      <c r="M4" s="7" t="s">
        <v>78</v>
      </c>
      <c r="N4" t="s">
        <v>142</v>
      </c>
      <c r="O4" t="s">
        <v>100</v>
      </c>
      <c r="P4" t="s">
        <v>92</v>
      </c>
      <c r="Q4" t="s">
        <v>102</v>
      </c>
    </row>
    <row r="5" spans="1:17">
      <c r="A5" t="s">
        <v>22</v>
      </c>
      <c r="B5" s="1" t="s">
        <v>23</v>
      </c>
      <c r="C5" s="1" t="s">
        <v>12</v>
      </c>
      <c r="D5" s="1"/>
      <c r="E5" s="1">
        <v>27</v>
      </c>
      <c r="F5" s="11">
        <v>757.7</v>
      </c>
      <c r="G5" s="1" t="s">
        <v>55</v>
      </c>
      <c r="H5" s="1" t="s">
        <v>20</v>
      </c>
      <c r="I5" s="10">
        <v>64.3</v>
      </c>
      <c r="J5" s="1" t="s">
        <v>68</v>
      </c>
      <c r="K5" s="11">
        <v>334.1</v>
      </c>
      <c r="L5" s="1" t="s">
        <v>73</v>
      </c>
      <c r="M5" s="7" t="s">
        <v>80</v>
      </c>
      <c r="N5" t="s">
        <v>95</v>
      </c>
      <c r="O5" t="s">
        <v>106</v>
      </c>
      <c r="Q5" t="s">
        <v>102</v>
      </c>
    </row>
    <row r="6" spans="1:17">
      <c r="A6" t="s">
        <v>24</v>
      </c>
      <c r="B6" s="1" t="s">
        <v>25</v>
      </c>
      <c r="C6" s="1" t="s">
        <v>12</v>
      </c>
      <c r="D6" s="1"/>
      <c r="E6" s="1">
        <v>12</v>
      </c>
      <c r="F6" s="3">
        <v>432.8</v>
      </c>
      <c r="G6" s="1" t="s">
        <v>55</v>
      </c>
      <c r="H6" s="1" t="s">
        <v>26</v>
      </c>
      <c r="I6" s="1" t="s">
        <v>69</v>
      </c>
      <c r="J6" s="1" t="s">
        <v>28</v>
      </c>
      <c r="K6" s="3">
        <f>((593.2-272.4)/2)/TINV(0.05, (E6-1))*SQRT(E6)</f>
        <v>252.45145180577305</v>
      </c>
      <c r="L6" s="1" t="s">
        <v>73</v>
      </c>
      <c r="M6" s="7" t="s">
        <v>82</v>
      </c>
      <c r="N6" s="8" t="s">
        <v>104</v>
      </c>
      <c r="O6" t="s">
        <v>100</v>
      </c>
      <c r="P6" t="s">
        <v>92</v>
      </c>
      <c r="Q6" t="s">
        <v>103</v>
      </c>
    </row>
    <row r="7" spans="1:17">
      <c r="A7" t="s">
        <v>31</v>
      </c>
      <c r="B7" s="1" t="s">
        <v>32</v>
      </c>
      <c r="C7" s="1" t="s">
        <v>12</v>
      </c>
      <c r="D7" s="1"/>
      <c r="E7" s="10">
        <v>15</v>
      </c>
      <c r="F7" s="11">
        <v>495.5</v>
      </c>
      <c r="G7" s="1" t="s">
        <v>55</v>
      </c>
      <c r="H7" s="1" t="s">
        <v>14</v>
      </c>
      <c r="I7" s="10">
        <v>199.22</v>
      </c>
      <c r="J7" s="1" t="s">
        <v>14</v>
      </c>
      <c r="K7" s="11">
        <f>I7</f>
        <v>199.22</v>
      </c>
      <c r="L7" s="1" t="s">
        <v>73</v>
      </c>
      <c r="M7" s="7" t="s">
        <v>79</v>
      </c>
      <c r="O7" t="s">
        <v>100</v>
      </c>
      <c r="P7" t="s">
        <v>101</v>
      </c>
      <c r="Q7" t="s">
        <v>102</v>
      </c>
    </row>
    <row r="8" spans="1:17">
      <c r="A8" t="s">
        <v>33</v>
      </c>
      <c r="B8" s="1" t="s">
        <v>34</v>
      </c>
      <c r="C8" s="1" t="s">
        <v>12</v>
      </c>
      <c r="D8" s="1"/>
      <c r="E8" s="1">
        <v>19</v>
      </c>
      <c r="F8" s="3">
        <v>501.39</v>
      </c>
      <c r="G8" s="1" t="s">
        <v>74</v>
      </c>
      <c r="H8" s="1" t="s">
        <v>20</v>
      </c>
      <c r="I8" s="1">
        <v>86.57</v>
      </c>
      <c r="J8" s="1" t="s">
        <v>21</v>
      </c>
      <c r="K8" s="3">
        <f>I8*SQRT(E8)</f>
        <v>377.3498815423161</v>
      </c>
      <c r="L8" s="1" t="s">
        <v>73</v>
      </c>
      <c r="M8" s="7" t="s">
        <v>75</v>
      </c>
      <c r="O8" t="s">
        <v>105</v>
      </c>
      <c r="P8" t="s">
        <v>92</v>
      </c>
      <c r="Q8" t="s">
        <v>102</v>
      </c>
    </row>
  </sheetData>
  <hyperlinks>
    <hyperlink ref="M5" r:id="rId1" xr:uid="{DEAB6A71-2F6F-C744-B26F-C0279CCC0788}"/>
    <hyperlink ref="M7" r:id="rId2" xr:uid="{E1D583E3-F100-274F-8781-6EA2F63E0463}"/>
    <hyperlink ref="M8" r:id="rId3" xr:uid="{60A2B67F-C78F-4C42-8406-A7FA70488B61}"/>
    <hyperlink ref="M2" r:id="rId4" xr:uid="{AE94555C-F778-3C4F-98A8-E5EB4E651536}"/>
    <hyperlink ref="M3" r:id="rId5" xr:uid="{FA7A9111-0D4F-CD4A-88B9-23EF019BB7A9}"/>
    <hyperlink ref="M4" r:id="rId6" xr:uid="{15B9CFC9-E3BB-FF4E-836C-6CDC972B741E}"/>
    <hyperlink ref="M6" r:id="rId7" xr:uid="{58C050E4-EF52-9E4F-AC33-A614502C1A8D}"/>
  </hyperlinks>
  <pageMargins left="0.7" right="0.7" top="0.75" bottom="0.75" header="0.3" footer="0.3"/>
  <pageSetup orientation="portrait"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E8712-6A4D-48B7-A86F-2F464B8F5A3E}">
  <dimension ref="A1:X8"/>
  <sheetViews>
    <sheetView workbookViewId="0">
      <selection activeCell="X14" sqref="X14"/>
    </sheetView>
  </sheetViews>
  <sheetFormatPr baseColWidth="10" defaultColWidth="9.1640625" defaultRowHeight="15"/>
  <cols>
    <col min="1" max="1" width="25.83203125" style="1" bestFit="1" customWidth="1"/>
    <col min="2" max="2" width="12.5" style="1" customWidth="1"/>
    <col min="3" max="3" width="22.5" style="1" bestFit="1" customWidth="1"/>
    <col min="4" max="4" width="4.1640625" style="1" bestFit="1" customWidth="1"/>
    <col min="5" max="5" width="5.5" style="1" bestFit="1" customWidth="1"/>
    <col min="6" max="6" width="6.5" style="1" bestFit="1" customWidth="1"/>
    <col min="7" max="7" width="9.5" style="1" bestFit="1" customWidth="1"/>
    <col min="8" max="8" width="10.5" style="1" bestFit="1" customWidth="1"/>
    <col min="9" max="9" width="18.5" style="1" bestFit="1" customWidth="1"/>
    <col min="10" max="10" width="8.5" style="1" bestFit="1" customWidth="1"/>
    <col min="11" max="11" width="12.5" style="1" bestFit="1" customWidth="1"/>
    <col min="12" max="12" width="8" style="1" bestFit="1" customWidth="1"/>
    <col min="13" max="13" width="13.5" style="1" customWidth="1"/>
    <col min="14" max="14" width="13.1640625" style="1" customWidth="1"/>
    <col min="15" max="15" width="17.83203125" style="1" bestFit="1" customWidth="1"/>
    <col min="16" max="16" width="28.5" style="1" bestFit="1" customWidth="1"/>
    <col min="17" max="17" width="12" style="1" bestFit="1" customWidth="1"/>
    <col min="18" max="18" width="26.5" style="1" customWidth="1"/>
    <col min="19" max="19" width="8.83203125"/>
    <col min="20" max="20" width="17.5" customWidth="1"/>
    <col min="21" max="21" width="14" customWidth="1"/>
    <col min="23" max="16384" width="9.1640625" style="1"/>
  </cols>
  <sheetData>
    <row r="1" spans="1:24">
      <c r="A1" s="1" t="s">
        <v>0</v>
      </c>
      <c r="B1" s="1" t="s">
        <v>1</v>
      </c>
      <c r="C1" s="1" t="s">
        <v>2</v>
      </c>
      <c r="D1" s="1" t="s">
        <v>46</v>
      </c>
      <c r="E1" s="1" t="s">
        <v>47</v>
      </c>
      <c r="F1" s="1" t="s">
        <v>48</v>
      </c>
      <c r="G1" s="1" t="s">
        <v>49</v>
      </c>
      <c r="H1" s="1" t="s">
        <v>50</v>
      </c>
      <c r="I1" s="1" t="s">
        <v>5</v>
      </c>
      <c r="J1" s="1" t="s">
        <v>51</v>
      </c>
      <c r="K1" s="1" t="s">
        <v>52</v>
      </c>
      <c r="L1" s="1" t="s">
        <v>6</v>
      </c>
      <c r="M1" s="1" t="s">
        <v>166</v>
      </c>
      <c r="N1" s="1" t="s">
        <v>165</v>
      </c>
      <c r="O1" s="1" t="s">
        <v>53</v>
      </c>
      <c r="P1" s="1" t="s">
        <v>8</v>
      </c>
      <c r="Q1" s="1" t="s">
        <v>9</v>
      </c>
      <c r="R1" s="1" t="s">
        <v>143</v>
      </c>
      <c r="S1" s="1" t="s">
        <v>72</v>
      </c>
      <c r="T1" s="1" t="s">
        <v>87</v>
      </c>
      <c r="U1" s="1" t="s">
        <v>88</v>
      </c>
      <c r="V1" s="1" t="s">
        <v>107</v>
      </c>
      <c r="W1" s="1" t="s">
        <v>168</v>
      </c>
      <c r="X1" s="1" t="s">
        <v>3</v>
      </c>
    </row>
    <row r="2" spans="1:24">
      <c r="A2" t="s">
        <v>10</v>
      </c>
      <c r="B2" s="1" t="s">
        <v>11</v>
      </c>
      <c r="C2" s="1" t="s">
        <v>54</v>
      </c>
      <c r="E2" s="1">
        <v>8</v>
      </c>
      <c r="F2" s="1">
        <v>12</v>
      </c>
      <c r="G2" s="1">
        <v>59.9</v>
      </c>
      <c r="H2" s="1">
        <v>500.9</v>
      </c>
      <c r="I2" s="1" t="s">
        <v>55</v>
      </c>
      <c r="J2" s="1">
        <f>(G2-H2)</f>
        <v>-441</v>
      </c>
      <c r="K2" s="1">
        <f>-(G2-H2)/H2</f>
        <v>0.8804152525454183</v>
      </c>
      <c r="L2" s="1" t="s">
        <v>14</v>
      </c>
      <c r="M2" s="1">
        <v>69.5</v>
      </c>
      <c r="N2" s="1">
        <v>219.9</v>
      </c>
      <c r="P2" s="5" t="s">
        <v>56</v>
      </c>
      <c r="Q2" s="1">
        <f>SQRT((M2^2)+(N2^2))</f>
        <v>230.62146474255167</v>
      </c>
      <c r="R2" s="19" t="s">
        <v>81</v>
      </c>
      <c r="S2" s="1" t="s">
        <v>73</v>
      </c>
      <c r="T2" s="1" t="s">
        <v>106</v>
      </c>
      <c r="U2" t="s">
        <v>92</v>
      </c>
      <c r="V2" t="s">
        <v>102</v>
      </c>
      <c r="W2" s="1">
        <v>0.22961409999999999</v>
      </c>
      <c r="X2" s="1">
        <f>(E2+F2)</f>
        <v>20</v>
      </c>
    </row>
    <row r="3" spans="1:24">
      <c r="A3" t="s">
        <v>15</v>
      </c>
      <c r="B3" s="4" t="s">
        <v>16</v>
      </c>
      <c r="C3" s="1" t="s">
        <v>57</v>
      </c>
      <c r="E3" s="1">
        <v>12</v>
      </c>
      <c r="F3" s="1">
        <v>13</v>
      </c>
      <c r="G3" s="10">
        <v>745.96</v>
      </c>
      <c r="H3" s="11">
        <v>756.4</v>
      </c>
      <c r="I3" s="18" t="s">
        <v>141</v>
      </c>
      <c r="J3" s="10">
        <f t="shared" ref="J3:J8" si="0">(G3-H3)</f>
        <v>-10.439999999999941</v>
      </c>
      <c r="K3" s="1">
        <f t="shared" ref="K3:K8" si="1">-(G3-H3)/H3</f>
        <v>1.3802221047064966E-2</v>
      </c>
      <c r="L3" s="1" t="s">
        <v>14</v>
      </c>
      <c r="M3" s="10">
        <v>189.34</v>
      </c>
      <c r="N3" s="1">
        <v>213.34</v>
      </c>
      <c r="O3" s="10" t="s">
        <v>58</v>
      </c>
      <c r="P3" s="1" t="s">
        <v>28</v>
      </c>
      <c r="Q3" s="1">
        <v>309.55439708933795</v>
      </c>
      <c r="R3" s="1" t="s">
        <v>77</v>
      </c>
      <c r="S3" s="1" t="s">
        <v>73</v>
      </c>
      <c r="V3" t="s">
        <v>167</v>
      </c>
      <c r="W3" s="1">
        <v>0.52851349999999997</v>
      </c>
      <c r="X3" s="1">
        <f t="shared" ref="X3:X8" si="2">(E3+F3)</f>
        <v>25</v>
      </c>
    </row>
    <row r="4" spans="1:24">
      <c r="A4" t="s">
        <v>17</v>
      </c>
      <c r="B4" s="1" t="s">
        <v>18</v>
      </c>
      <c r="C4" s="1" t="s">
        <v>59</v>
      </c>
      <c r="E4" s="1">
        <v>25</v>
      </c>
      <c r="F4" s="1">
        <v>30</v>
      </c>
      <c r="G4" s="3">
        <v>204</v>
      </c>
      <c r="H4" s="3">
        <v>790.2</v>
      </c>
      <c r="I4" s="18" t="s">
        <v>141</v>
      </c>
      <c r="J4" s="1">
        <f t="shared" si="0"/>
        <v>-586.20000000000005</v>
      </c>
      <c r="K4" s="1">
        <f t="shared" si="1"/>
        <v>0.74183750949126803</v>
      </c>
      <c r="L4" s="1" t="s">
        <v>14</v>
      </c>
      <c r="M4" s="1">
        <v>173.5</v>
      </c>
      <c r="N4" s="1">
        <v>408.8</v>
      </c>
      <c r="P4" s="5" t="s">
        <v>56</v>
      </c>
      <c r="Q4" s="3">
        <f>SQRT((M4^2)+(N4^2))</f>
        <v>444.09423549512553</v>
      </c>
      <c r="R4" s="1" t="s">
        <v>78</v>
      </c>
      <c r="S4" s="1" t="s">
        <v>73</v>
      </c>
      <c r="T4" t="s">
        <v>100</v>
      </c>
      <c r="U4" t="s">
        <v>92</v>
      </c>
      <c r="V4" t="s">
        <v>102</v>
      </c>
      <c r="W4" s="1">
        <v>0.37250650000000002</v>
      </c>
      <c r="X4" s="1">
        <f t="shared" si="2"/>
        <v>55</v>
      </c>
    </row>
    <row r="5" spans="1:24">
      <c r="A5" t="s">
        <v>22</v>
      </c>
      <c r="B5" s="1" t="s">
        <v>23</v>
      </c>
      <c r="C5" s="1" t="s">
        <v>61</v>
      </c>
      <c r="E5" s="1">
        <v>27</v>
      </c>
      <c r="F5" s="1">
        <v>27</v>
      </c>
      <c r="G5" s="1">
        <v>250.7</v>
      </c>
      <c r="H5" s="1">
        <v>757.7</v>
      </c>
      <c r="I5" s="1" t="s">
        <v>55</v>
      </c>
      <c r="J5" s="1">
        <f t="shared" si="0"/>
        <v>-507.00000000000006</v>
      </c>
      <c r="K5" s="1">
        <f t="shared" si="1"/>
        <v>0.66913026263692754</v>
      </c>
      <c r="L5" s="1" t="s">
        <v>26</v>
      </c>
      <c r="M5" s="1">
        <v>163.16</v>
      </c>
      <c r="N5" s="11">
        <v>334.1</v>
      </c>
      <c r="O5" s="1" t="s">
        <v>62</v>
      </c>
      <c r="P5" s="1" t="s">
        <v>28</v>
      </c>
      <c r="Q5" s="1">
        <v>366.92324127151835</v>
      </c>
      <c r="R5" s="7" t="s">
        <v>80</v>
      </c>
      <c r="S5" s="1" t="s">
        <v>73</v>
      </c>
      <c r="T5" t="s">
        <v>106</v>
      </c>
      <c r="V5" t="s">
        <v>102</v>
      </c>
      <c r="W5" s="1">
        <v>0.3678437</v>
      </c>
      <c r="X5" s="1">
        <f t="shared" si="2"/>
        <v>54</v>
      </c>
    </row>
    <row r="6" spans="1:24">
      <c r="A6" t="s">
        <v>24</v>
      </c>
      <c r="B6" s="1" t="s">
        <v>25</v>
      </c>
      <c r="C6" s="1" t="s">
        <v>63</v>
      </c>
      <c r="D6" s="1">
        <v>7</v>
      </c>
      <c r="E6" s="1">
        <v>12</v>
      </c>
      <c r="F6" s="1">
        <v>12</v>
      </c>
      <c r="G6" s="1">
        <v>253.8</v>
      </c>
      <c r="H6" s="1">
        <v>432.8</v>
      </c>
      <c r="I6" s="1" t="s">
        <v>55</v>
      </c>
      <c r="J6" s="1">
        <f t="shared" si="0"/>
        <v>-179</v>
      </c>
      <c r="K6" s="1">
        <f t="shared" si="1"/>
        <v>0.41358595194085029</v>
      </c>
      <c r="L6" s="1" t="s">
        <v>26</v>
      </c>
      <c r="M6" s="1">
        <v>186.35</v>
      </c>
      <c r="N6" s="3">
        <v>252.45</v>
      </c>
      <c r="O6" s="1" t="s">
        <v>64</v>
      </c>
      <c r="P6" s="1" t="s">
        <v>28</v>
      </c>
      <c r="Q6" s="1">
        <v>298.40894801979158</v>
      </c>
      <c r="R6" s="7" t="s">
        <v>82</v>
      </c>
      <c r="S6" s="1" t="s">
        <v>73</v>
      </c>
      <c r="T6" t="s">
        <v>100</v>
      </c>
      <c r="U6" t="s">
        <v>92</v>
      </c>
      <c r="V6" t="s">
        <v>103</v>
      </c>
      <c r="W6" s="1">
        <v>0.77767459999999999</v>
      </c>
      <c r="X6" s="1">
        <f t="shared" si="2"/>
        <v>24</v>
      </c>
    </row>
    <row r="7" spans="1:24">
      <c r="A7" t="s">
        <v>31</v>
      </c>
      <c r="B7" s="1" t="s">
        <v>32</v>
      </c>
      <c r="C7" s="1" t="s">
        <v>65</v>
      </c>
      <c r="D7" s="1">
        <v>12</v>
      </c>
      <c r="E7" s="10">
        <v>19</v>
      </c>
      <c r="F7" s="1">
        <v>15</v>
      </c>
      <c r="G7" s="10">
        <v>325.8</v>
      </c>
      <c r="H7" s="10">
        <v>495.5</v>
      </c>
      <c r="I7" s="1" t="s">
        <v>55</v>
      </c>
      <c r="J7" s="10">
        <f t="shared" si="0"/>
        <v>-169.7</v>
      </c>
      <c r="K7" s="1">
        <f t="shared" si="1"/>
        <v>0.34248234106962661</v>
      </c>
      <c r="L7" s="1" t="s">
        <v>14</v>
      </c>
      <c r="M7" s="10">
        <v>199.19</v>
      </c>
      <c r="N7" s="10">
        <v>199.22</v>
      </c>
      <c r="P7" s="5" t="s">
        <v>56</v>
      </c>
      <c r="R7" s="7" t="s">
        <v>79</v>
      </c>
      <c r="S7" s="1" t="s">
        <v>73</v>
      </c>
      <c r="T7" t="s">
        <v>100</v>
      </c>
      <c r="U7" t="s">
        <v>101</v>
      </c>
      <c r="V7" t="s">
        <v>102</v>
      </c>
      <c r="W7" s="1">
        <v>0.66902360000000005</v>
      </c>
      <c r="X7" s="1">
        <f t="shared" si="2"/>
        <v>34</v>
      </c>
    </row>
    <row r="8" spans="1:24">
      <c r="A8" t="s">
        <v>33</v>
      </c>
      <c r="B8" s="1" t="s">
        <v>34</v>
      </c>
      <c r="C8" s="1" t="s">
        <v>66</v>
      </c>
      <c r="D8" s="1">
        <v>6.5</v>
      </c>
      <c r="E8" s="1">
        <v>16</v>
      </c>
      <c r="F8" s="1">
        <v>19</v>
      </c>
      <c r="G8" s="1">
        <v>185.26</v>
      </c>
      <c r="H8" s="1">
        <v>501.39</v>
      </c>
      <c r="I8" s="1" t="s">
        <v>60</v>
      </c>
      <c r="J8" s="1">
        <f t="shared" si="0"/>
        <v>-316.13</v>
      </c>
      <c r="K8" s="1">
        <f t="shared" si="1"/>
        <v>0.63050719001176725</v>
      </c>
      <c r="L8" s="1" t="s">
        <v>26</v>
      </c>
      <c r="M8" s="1">
        <v>124.68</v>
      </c>
      <c r="N8" s="1">
        <v>377.35</v>
      </c>
      <c r="O8" s="1" t="s">
        <v>67</v>
      </c>
      <c r="P8" s="1" t="s">
        <v>28</v>
      </c>
      <c r="Q8" s="1">
        <v>395.3860998931894</v>
      </c>
      <c r="R8" s="7" t="s">
        <v>75</v>
      </c>
      <c r="S8" s="1" t="s">
        <v>73</v>
      </c>
      <c r="T8" t="s">
        <v>105</v>
      </c>
      <c r="U8" t="s">
        <v>92</v>
      </c>
      <c r="V8" t="s">
        <v>102</v>
      </c>
      <c r="W8" s="1">
        <v>0.52698860000000003</v>
      </c>
      <c r="X8" s="1">
        <f t="shared" si="2"/>
        <v>35</v>
      </c>
    </row>
  </sheetData>
  <hyperlinks>
    <hyperlink ref="R7" r:id="rId1" xr:uid="{C3ACF57D-794E-3041-B402-061BA899231D}"/>
    <hyperlink ref="R8" r:id="rId2" xr:uid="{C413D1FA-B3FC-6D4F-B22E-D4025370A8E7}"/>
    <hyperlink ref="R2" r:id="rId3" xr:uid="{1BE64F5A-D99F-6148-A00E-6F1F82F36B2F}"/>
    <hyperlink ref="R5" r:id="rId4" xr:uid="{E10E696E-5ECC-5A49-861F-DE390DC8A2D4}"/>
    <hyperlink ref="R6" r:id="rId5" xr:uid="{D8A08A07-C4F7-2445-A0A0-D16AB11668A3}"/>
  </hyperlinks>
  <pageMargins left="0.7" right="0.7" top="0.75" bottom="0.75" header="0.3" footer="0.3"/>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617F4-9735-4B31-AD36-8670EC846CBD}">
  <dimension ref="A1:N10"/>
  <sheetViews>
    <sheetView workbookViewId="0">
      <selection activeCell="E8" sqref="E8"/>
    </sheetView>
  </sheetViews>
  <sheetFormatPr baseColWidth="10" defaultRowHeight="15"/>
  <cols>
    <col min="1" max="1" width="31.6640625" customWidth="1"/>
    <col min="2" max="2" width="22" customWidth="1"/>
    <col min="8" max="8" width="20.33203125" customWidth="1"/>
    <col min="11" max="11" width="20.5" customWidth="1"/>
    <col min="12" max="12" width="41.5" customWidth="1"/>
    <col min="13" max="13" width="25.6640625" customWidth="1"/>
    <col min="14" max="14" width="255.6640625" customWidth="1"/>
  </cols>
  <sheetData>
    <row r="1" spans="1:14">
      <c r="A1" t="s">
        <v>0</v>
      </c>
      <c r="B1" t="s">
        <v>1</v>
      </c>
      <c r="C1" t="s">
        <v>2</v>
      </c>
      <c r="D1" t="s">
        <v>3</v>
      </c>
      <c r="E1" t="s">
        <v>180</v>
      </c>
      <c r="F1" t="s">
        <v>5</v>
      </c>
      <c r="G1" t="s">
        <v>6</v>
      </c>
      <c r="H1" t="s">
        <v>7</v>
      </c>
      <c r="I1" t="s">
        <v>8</v>
      </c>
      <c r="J1" t="s">
        <v>9</v>
      </c>
      <c r="K1" t="s">
        <v>140</v>
      </c>
      <c r="L1" t="s">
        <v>127</v>
      </c>
      <c r="M1" t="s">
        <v>128</v>
      </c>
      <c r="N1" t="s">
        <v>99</v>
      </c>
    </row>
    <row r="2" spans="1:14">
      <c r="A2" s="28" t="s">
        <v>10</v>
      </c>
      <c r="B2" s="28" t="s">
        <v>11</v>
      </c>
      <c r="C2" s="28" t="s">
        <v>12</v>
      </c>
      <c r="D2" s="28">
        <v>12</v>
      </c>
      <c r="E2" s="29">
        <v>7.75</v>
      </c>
      <c r="F2" s="28" t="s">
        <v>35</v>
      </c>
      <c r="G2" s="28" t="s">
        <v>36</v>
      </c>
      <c r="H2" s="28" t="s">
        <v>37</v>
      </c>
      <c r="I2" s="28" t="s">
        <v>38</v>
      </c>
      <c r="J2" s="28">
        <v>1.3</v>
      </c>
      <c r="K2" t="s">
        <v>181</v>
      </c>
      <c r="L2" t="s">
        <v>183</v>
      </c>
      <c r="M2" s="28" t="s">
        <v>206</v>
      </c>
      <c r="N2" s="28" t="s">
        <v>205</v>
      </c>
    </row>
    <row r="3" spans="1:14">
      <c r="A3" s="28"/>
      <c r="B3" s="28"/>
      <c r="C3" s="28"/>
      <c r="D3" s="28"/>
      <c r="E3" s="29"/>
      <c r="F3" s="28"/>
      <c r="G3" s="28"/>
      <c r="H3" s="28"/>
      <c r="I3" s="28"/>
      <c r="J3" s="28"/>
      <c r="K3" t="s">
        <v>182</v>
      </c>
      <c r="L3" t="s">
        <v>184</v>
      </c>
      <c r="M3" s="28"/>
      <c r="N3" s="28"/>
    </row>
    <row r="4" spans="1:14">
      <c r="A4" s="28" t="s">
        <v>17</v>
      </c>
      <c r="B4" s="28" t="s">
        <v>18</v>
      </c>
      <c r="C4" s="28" t="s">
        <v>12</v>
      </c>
      <c r="D4" s="28">
        <v>30</v>
      </c>
      <c r="E4" s="29">
        <v>6.72</v>
      </c>
      <c r="F4" s="28" t="s">
        <v>35</v>
      </c>
      <c r="G4" s="28" t="s">
        <v>36</v>
      </c>
      <c r="H4" s="28" t="s">
        <v>39</v>
      </c>
      <c r="I4" s="28" t="s">
        <v>38</v>
      </c>
      <c r="J4" s="28">
        <v>0.86</v>
      </c>
      <c r="K4" t="s">
        <v>181</v>
      </c>
      <c r="L4" t="s">
        <v>185</v>
      </c>
      <c r="M4" s="28" t="s">
        <v>208</v>
      </c>
      <c r="N4" s="28" t="s">
        <v>207</v>
      </c>
    </row>
    <row r="5" spans="1:14">
      <c r="A5" s="28"/>
      <c r="B5" s="28"/>
      <c r="C5" s="28"/>
      <c r="D5" s="28"/>
      <c r="E5" s="29"/>
      <c r="F5" s="28"/>
      <c r="G5" s="28"/>
      <c r="H5" s="28"/>
      <c r="I5" s="28"/>
      <c r="J5" s="28"/>
      <c r="K5" t="s">
        <v>182</v>
      </c>
      <c r="L5" t="s">
        <v>186</v>
      </c>
      <c r="M5" s="28"/>
      <c r="N5" s="28"/>
    </row>
    <row r="6" spans="1:14">
      <c r="A6" t="s">
        <v>22</v>
      </c>
      <c r="B6" t="s">
        <v>23</v>
      </c>
      <c r="C6" t="s">
        <v>12</v>
      </c>
      <c r="D6" s="12">
        <v>27</v>
      </c>
      <c r="E6" s="12">
        <v>6.2</v>
      </c>
      <c r="F6" t="s">
        <v>35</v>
      </c>
      <c r="G6" t="s">
        <v>36</v>
      </c>
      <c r="H6" s="12" t="s">
        <v>40</v>
      </c>
      <c r="I6" t="s">
        <v>38</v>
      </c>
      <c r="J6" s="12">
        <v>1.8125</v>
      </c>
      <c r="K6" s="12"/>
      <c r="L6" s="12"/>
      <c r="M6" t="s">
        <v>144</v>
      </c>
      <c r="N6" s="12" t="s">
        <v>146</v>
      </c>
    </row>
    <row r="7" spans="1:14">
      <c r="A7" t="s">
        <v>24</v>
      </c>
      <c r="B7" t="s">
        <v>25</v>
      </c>
      <c r="C7" t="s">
        <v>12</v>
      </c>
      <c r="D7">
        <v>17</v>
      </c>
      <c r="E7" s="12">
        <v>8</v>
      </c>
      <c r="F7" t="s">
        <v>35</v>
      </c>
      <c r="G7" t="s">
        <v>41</v>
      </c>
      <c r="H7" t="s">
        <v>42</v>
      </c>
      <c r="I7" t="s">
        <v>43</v>
      </c>
      <c r="J7">
        <v>1.87</v>
      </c>
      <c r="L7" t="s">
        <v>210</v>
      </c>
      <c r="M7" t="s">
        <v>148</v>
      </c>
      <c r="N7" t="s">
        <v>209</v>
      </c>
    </row>
    <row r="8" spans="1:14">
      <c r="A8" t="s">
        <v>31</v>
      </c>
      <c r="B8" t="s">
        <v>32</v>
      </c>
      <c r="C8" t="s">
        <v>12</v>
      </c>
      <c r="D8">
        <v>19</v>
      </c>
      <c r="E8" s="12">
        <v>6.54</v>
      </c>
      <c r="F8" t="s">
        <v>35</v>
      </c>
      <c r="G8" t="s">
        <v>41</v>
      </c>
      <c r="H8" t="s">
        <v>45</v>
      </c>
      <c r="I8" t="s">
        <v>43</v>
      </c>
      <c r="J8">
        <v>1.4814814810000001</v>
      </c>
      <c r="K8" t="s">
        <v>192</v>
      </c>
      <c r="L8" t="s">
        <v>193</v>
      </c>
      <c r="M8" t="s">
        <v>150</v>
      </c>
      <c r="N8" t="s">
        <v>187</v>
      </c>
    </row>
    <row r="9" spans="1:14">
      <c r="A9" s="29" t="s">
        <v>33</v>
      </c>
      <c r="B9" s="29" t="s">
        <v>34</v>
      </c>
      <c r="C9" s="29" t="s">
        <v>12</v>
      </c>
      <c r="D9" s="29">
        <v>19</v>
      </c>
      <c r="E9" s="29">
        <v>6.75</v>
      </c>
      <c r="F9" s="29" t="s">
        <v>35</v>
      </c>
      <c r="G9" s="29" t="s">
        <v>14</v>
      </c>
      <c r="H9" s="29">
        <v>1.22</v>
      </c>
      <c r="I9" s="29" t="s">
        <v>14</v>
      </c>
      <c r="J9" s="29">
        <v>1.22</v>
      </c>
      <c r="K9" s="12" t="s">
        <v>181</v>
      </c>
      <c r="L9" s="12" t="s">
        <v>188</v>
      </c>
      <c r="M9" s="12" t="s">
        <v>190</v>
      </c>
      <c r="N9" s="29" t="s">
        <v>153</v>
      </c>
    </row>
    <row r="10" spans="1:14">
      <c r="A10" s="29"/>
      <c r="B10" s="29"/>
      <c r="C10" s="29"/>
      <c r="D10" s="29"/>
      <c r="E10" s="29"/>
      <c r="F10" s="29"/>
      <c r="G10" s="29"/>
      <c r="H10" s="29"/>
      <c r="I10" s="29"/>
      <c r="J10" s="29"/>
      <c r="K10" s="12" t="s">
        <v>182</v>
      </c>
      <c r="L10" s="12" t="s">
        <v>189</v>
      </c>
      <c r="M10" s="12" t="s">
        <v>191</v>
      </c>
      <c r="N10" s="29"/>
    </row>
  </sheetData>
  <mergeCells count="35">
    <mergeCell ref="F9:F10"/>
    <mergeCell ref="A9:A10"/>
    <mergeCell ref="B9:B10"/>
    <mergeCell ref="C9:C10"/>
    <mergeCell ref="D9:D10"/>
    <mergeCell ref="E9:E10"/>
    <mergeCell ref="G9:G10"/>
    <mergeCell ref="H9:H10"/>
    <mergeCell ref="I9:I10"/>
    <mergeCell ref="J9:J10"/>
    <mergeCell ref="N9:N10"/>
    <mergeCell ref="M4:M5"/>
    <mergeCell ref="N4:N5"/>
    <mergeCell ref="A4:A5"/>
    <mergeCell ref="B4:B5"/>
    <mergeCell ref="C4:C5"/>
    <mergeCell ref="D4:D5"/>
    <mergeCell ref="E4:E5"/>
    <mergeCell ref="F4:F5"/>
    <mergeCell ref="G4:G5"/>
    <mergeCell ref="H4:H5"/>
    <mergeCell ref="I4:I5"/>
    <mergeCell ref="J4:J5"/>
    <mergeCell ref="N2:N3"/>
    <mergeCell ref="A2:A3"/>
    <mergeCell ref="B2:B3"/>
    <mergeCell ref="C2:C3"/>
    <mergeCell ref="D2:D3"/>
    <mergeCell ref="E2:E3"/>
    <mergeCell ref="F2:F3"/>
    <mergeCell ref="G2:G3"/>
    <mergeCell ref="H2:H3"/>
    <mergeCell ref="I2:I3"/>
    <mergeCell ref="J2:J3"/>
    <mergeCell ref="M2: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3741-A6A9-E447-A1DA-A397B50D2093}">
  <dimension ref="A1:O9"/>
  <sheetViews>
    <sheetView workbookViewId="0">
      <selection activeCell="N23" sqref="N23"/>
    </sheetView>
  </sheetViews>
  <sheetFormatPr baseColWidth="10" defaultRowHeight="15"/>
  <sheetData>
    <row r="1" spans="1:15">
      <c r="A1" s="1" t="s">
        <v>0</v>
      </c>
      <c r="B1" s="1" t="s">
        <v>1</v>
      </c>
      <c r="C1" s="1" t="s">
        <v>163</v>
      </c>
      <c r="D1" s="1" t="s">
        <v>212</v>
      </c>
      <c r="E1" s="1" t="s">
        <v>213</v>
      </c>
      <c r="F1" s="1" t="s">
        <v>48</v>
      </c>
      <c r="G1" s="1" t="s">
        <v>214</v>
      </c>
      <c r="H1" s="1" t="s">
        <v>50</v>
      </c>
      <c r="I1" s="1" t="s">
        <v>165</v>
      </c>
      <c r="J1" s="1" t="s">
        <v>164</v>
      </c>
      <c r="K1" s="1" t="s">
        <v>47</v>
      </c>
      <c r="L1" s="1" t="s">
        <v>49</v>
      </c>
      <c r="M1" s="1" t="s">
        <v>215</v>
      </c>
      <c r="N1" s="1" t="s">
        <v>94</v>
      </c>
      <c r="O1" s="1" t="s">
        <v>216</v>
      </c>
    </row>
    <row r="2" spans="1:15">
      <c r="A2" s="30" t="s">
        <v>10</v>
      </c>
      <c r="B2" s="30" t="s">
        <v>11</v>
      </c>
      <c r="C2" s="30" t="s">
        <v>217</v>
      </c>
      <c r="D2" s="30" t="s">
        <v>218</v>
      </c>
      <c r="E2" s="30" t="s">
        <v>219</v>
      </c>
      <c r="F2" s="30">
        <v>12</v>
      </c>
      <c r="G2" s="30" t="s">
        <v>220</v>
      </c>
      <c r="H2" s="6">
        <v>606.9</v>
      </c>
      <c r="I2" s="6">
        <v>564.79999999999995</v>
      </c>
      <c r="J2" s="30" t="s">
        <v>54</v>
      </c>
      <c r="K2" s="30">
        <v>8</v>
      </c>
      <c r="L2" s="6">
        <v>111.7</v>
      </c>
      <c r="M2" s="6">
        <v>94</v>
      </c>
      <c r="N2" s="30"/>
      <c r="O2" s="30"/>
    </row>
    <row r="3" spans="1:15">
      <c r="A3" s="1" t="s">
        <v>15</v>
      </c>
      <c r="B3" s="1" t="s">
        <v>16</v>
      </c>
      <c r="C3" s="1" t="s">
        <v>221</v>
      </c>
      <c r="D3" s="1" t="s">
        <v>139</v>
      </c>
      <c r="E3" s="1" t="s">
        <v>219</v>
      </c>
      <c r="F3" s="1">
        <v>13</v>
      </c>
      <c r="G3" s="1" t="s">
        <v>222</v>
      </c>
      <c r="H3" s="3">
        <v>212.28</v>
      </c>
      <c r="I3" s="3">
        <v>222.9</v>
      </c>
      <c r="J3" s="1" t="s">
        <v>57</v>
      </c>
      <c r="K3" s="1">
        <v>12</v>
      </c>
      <c r="L3" s="3">
        <v>277.56</v>
      </c>
      <c r="M3" s="3">
        <v>253.83</v>
      </c>
      <c r="N3" s="1"/>
      <c r="O3" s="1"/>
    </row>
    <row r="4" spans="1:15" ht="17">
      <c r="A4" s="31" t="s">
        <v>17</v>
      </c>
      <c r="B4" s="30" t="s">
        <v>18</v>
      </c>
      <c r="C4" s="30" t="s">
        <v>223</v>
      </c>
      <c r="D4" s="30" t="s">
        <v>139</v>
      </c>
      <c r="E4" s="30" t="s">
        <v>224</v>
      </c>
      <c r="F4" s="30">
        <v>30</v>
      </c>
      <c r="G4" s="30" t="s">
        <v>222</v>
      </c>
      <c r="H4" s="6">
        <v>478.8</v>
      </c>
      <c r="I4" s="6">
        <v>422.3</v>
      </c>
      <c r="J4" s="30" t="s">
        <v>59</v>
      </c>
      <c r="K4" s="30">
        <v>25</v>
      </c>
      <c r="L4" s="6">
        <v>124.5</v>
      </c>
      <c r="M4" s="6">
        <v>115.6</v>
      </c>
      <c r="N4" s="30"/>
      <c r="O4" s="32" t="s">
        <v>225</v>
      </c>
    </row>
    <row r="5" spans="1:15" ht="16">
      <c r="A5" s="1" t="s">
        <v>22</v>
      </c>
      <c r="B5" s="1" t="s">
        <v>23</v>
      </c>
      <c r="C5" s="1" t="s">
        <v>226</v>
      </c>
      <c r="D5" s="1" t="s">
        <v>139</v>
      </c>
      <c r="E5" s="1" t="s">
        <v>227</v>
      </c>
      <c r="F5" s="1">
        <v>27</v>
      </c>
      <c r="G5" s="1" t="s">
        <v>220</v>
      </c>
      <c r="H5" s="3">
        <v>204.9</v>
      </c>
      <c r="I5" s="3">
        <f>60.5*SQRT(27)</f>
        <v>314.36722157375124</v>
      </c>
      <c r="J5" s="1" t="s">
        <v>61</v>
      </c>
      <c r="K5" s="1">
        <v>27</v>
      </c>
      <c r="L5" s="3">
        <v>-20.2</v>
      </c>
      <c r="M5" s="3">
        <f>46*SQRT(27)</f>
        <v>239.02301144450507</v>
      </c>
      <c r="N5" s="1" t="s">
        <v>228</v>
      </c>
      <c r="O5" s="33" t="s">
        <v>229</v>
      </c>
    </row>
    <row r="6" spans="1:15">
      <c r="A6" s="1" t="s">
        <v>24</v>
      </c>
      <c r="B6" s="1" t="s">
        <v>25</v>
      </c>
      <c r="C6" s="1"/>
      <c r="D6" s="1"/>
      <c r="E6" s="1"/>
      <c r="F6" s="1"/>
      <c r="G6" s="1"/>
      <c r="H6" s="1"/>
      <c r="I6" s="1"/>
      <c r="J6" s="1"/>
      <c r="K6" s="1"/>
      <c r="L6" s="1"/>
      <c r="M6" s="1"/>
      <c r="N6" s="1"/>
      <c r="O6" s="1"/>
    </row>
    <row r="7" spans="1:15">
      <c r="A7" s="1" t="s">
        <v>70</v>
      </c>
      <c r="B7" s="1" t="s">
        <v>71</v>
      </c>
      <c r="C7" s="1"/>
      <c r="D7" s="1"/>
      <c r="E7" s="1"/>
      <c r="F7" s="1"/>
      <c r="G7" s="1"/>
      <c r="H7" s="1"/>
      <c r="I7" s="1"/>
      <c r="J7" s="1"/>
      <c r="K7" s="1"/>
      <c r="L7" s="1"/>
      <c r="M7" s="1"/>
      <c r="N7" s="1"/>
      <c r="O7" s="1"/>
    </row>
    <row r="8" spans="1:15">
      <c r="A8" s="30" t="s">
        <v>31</v>
      </c>
      <c r="B8" s="30" t="s">
        <v>32</v>
      </c>
      <c r="C8" s="30" t="s">
        <v>230</v>
      </c>
      <c r="D8" s="30" t="s">
        <v>139</v>
      </c>
      <c r="E8" s="30" t="s">
        <v>219</v>
      </c>
      <c r="F8" s="30">
        <v>15</v>
      </c>
      <c r="G8" s="30" t="s">
        <v>222</v>
      </c>
      <c r="H8" s="6">
        <v>340.6</v>
      </c>
      <c r="I8" s="6">
        <v>327.91</v>
      </c>
      <c r="J8" s="30" t="s">
        <v>65</v>
      </c>
      <c r="K8" s="30">
        <v>19</v>
      </c>
      <c r="L8" s="6">
        <v>221.2</v>
      </c>
      <c r="M8" s="6">
        <v>252.05</v>
      </c>
      <c r="N8" s="30" t="s">
        <v>231</v>
      </c>
      <c r="O8" s="30" t="s">
        <v>232</v>
      </c>
    </row>
    <row r="9" spans="1:15">
      <c r="A9" s="30" t="s">
        <v>33</v>
      </c>
      <c r="B9" s="30" t="s">
        <v>34</v>
      </c>
      <c r="C9" s="30" t="s">
        <v>233</v>
      </c>
      <c r="D9" s="30" t="s">
        <v>139</v>
      </c>
      <c r="E9" s="30" t="s">
        <v>219</v>
      </c>
      <c r="F9" s="30">
        <v>19</v>
      </c>
      <c r="G9" s="30" t="s">
        <v>222</v>
      </c>
      <c r="H9" s="6">
        <v>381.82</v>
      </c>
      <c r="I9" s="6">
        <f>111.59*SQRT(19)</f>
        <v>486.40953310970383</v>
      </c>
      <c r="J9" s="30" t="s">
        <v>66</v>
      </c>
      <c r="K9" s="30">
        <v>16</v>
      </c>
      <c r="L9" s="6">
        <v>82.41</v>
      </c>
      <c r="M9" s="6">
        <f>24.45*SQRT(16)</f>
        <v>97.8</v>
      </c>
      <c r="N9" s="30" t="s">
        <v>234</v>
      </c>
      <c r="O9" s="30"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
  <sheetViews>
    <sheetView workbookViewId="0">
      <selection activeCell="P1" sqref="P1:P1048576"/>
    </sheetView>
  </sheetViews>
  <sheetFormatPr baseColWidth="10" defaultColWidth="8.83203125" defaultRowHeight="15"/>
  <cols>
    <col min="1" max="1" width="27" bestFit="1" customWidth="1"/>
    <col min="2" max="2" width="12.5" bestFit="1" customWidth="1"/>
    <col min="3" max="3" width="8" bestFit="1" customWidth="1"/>
    <col min="4" max="4" width="14.5" customWidth="1"/>
    <col min="5" max="5" width="27.6640625" customWidth="1"/>
    <col min="6" max="6" width="5" bestFit="1" customWidth="1"/>
    <col min="7" max="7" width="8" bestFit="1" customWidth="1"/>
    <col min="8" max="8" width="10.5" bestFit="1" customWidth="1"/>
    <col min="9" max="9" width="12.1640625" bestFit="1" customWidth="1"/>
    <col min="10" max="10" width="12" bestFit="1" customWidth="1"/>
    <col min="11" max="11" width="21.1640625" customWidth="1"/>
    <col min="12" max="12" width="45.6640625" customWidth="1"/>
    <col min="13" max="13" width="78.6640625" customWidth="1"/>
    <col min="14" max="14" width="71.5" bestFit="1" customWidth="1"/>
    <col min="15" max="15" width="23" customWidth="1"/>
    <col min="16" max="16" width="27" customWidth="1"/>
  </cols>
  <sheetData>
    <row r="1" spans="1:25">
      <c r="A1" t="s">
        <v>0</v>
      </c>
      <c r="B1" s="1" t="s">
        <v>1</v>
      </c>
      <c r="C1" s="1" t="s">
        <v>2</v>
      </c>
      <c r="D1" s="1" t="s">
        <v>3</v>
      </c>
      <c r="E1" s="1" t="s">
        <v>162</v>
      </c>
      <c r="F1" s="1" t="s">
        <v>5</v>
      </c>
      <c r="G1" s="1" t="s">
        <v>6</v>
      </c>
      <c r="H1" s="1" t="s">
        <v>7</v>
      </c>
      <c r="I1" s="1" t="s">
        <v>8</v>
      </c>
      <c r="J1" s="1" t="s">
        <v>9</v>
      </c>
      <c r="K1" s="1" t="s">
        <v>140</v>
      </c>
      <c r="L1" s="1" t="s">
        <v>127</v>
      </c>
      <c r="M1" s="1" t="s">
        <v>128</v>
      </c>
      <c r="N1" s="1" t="s">
        <v>99</v>
      </c>
      <c r="O1" s="1"/>
      <c r="P1" s="1"/>
      <c r="Q1" s="1"/>
      <c r="R1" s="1"/>
      <c r="S1" s="1"/>
      <c r="T1" s="1"/>
      <c r="U1" s="1"/>
      <c r="V1" s="1"/>
      <c r="W1" s="1"/>
      <c r="X1" s="1"/>
      <c r="Y1" s="1"/>
    </row>
    <row r="2" spans="1:25" ht="112">
      <c r="A2" t="s">
        <v>10</v>
      </c>
      <c r="B2" s="1" t="s">
        <v>11</v>
      </c>
      <c r="C2" s="1" t="s">
        <v>12</v>
      </c>
      <c r="D2" s="1">
        <v>12</v>
      </c>
      <c r="E2" s="11">
        <v>7.75</v>
      </c>
      <c r="F2" s="1" t="s">
        <v>35</v>
      </c>
      <c r="G2" s="1" t="s">
        <v>36</v>
      </c>
      <c r="H2" s="1" t="s">
        <v>37</v>
      </c>
      <c r="I2" s="1" t="s">
        <v>38</v>
      </c>
      <c r="J2" s="3">
        <f>(7.2-2)/4</f>
        <v>1.3</v>
      </c>
      <c r="K2" s="25" t="s">
        <v>129</v>
      </c>
      <c r="L2" s="14" t="s">
        <v>130</v>
      </c>
      <c r="M2" s="3" t="s">
        <v>156</v>
      </c>
      <c r="N2" s="24" t="s">
        <v>155</v>
      </c>
    </row>
    <row r="3" spans="1:25" ht="128">
      <c r="A3" t="s">
        <v>17</v>
      </c>
      <c r="B3" s="1" t="s">
        <v>18</v>
      </c>
      <c r="C3" s="1" t="s">
        <v>12</v>
      </c>
      <c r="D3" s="1">
        <v>30</v>
      </c>
      <c r="E3" s="11">
        <v>6.52</v>
      </c>
      <c r="F3" s="1" t="s">
        <v>35</v>
      </c>
      <c r="G3" s="1" t="s">
        <v>36</v>
      </c>
      <c r="H3" s="1" t="s">
        <v>39</v>
      </c>
      <c r="I3" s="1" t="s">
        <v>38</v>
      </c>
      <c r="J3" s="3">
        <f>(6.16-2.71)/4</f>
        <v>0.86250000000000004</v>
      </c>
      <c r="K3" s="14" t="s">
        <v>129</v>
      </c>
      <c r="L3" s="14" t="s">
        <v>159</v>
      </c>
      <c r="M3" s="3" t="s">
        <v>157</v>
      </c>
      <c r="N3" s="24" t="s">
        <v>158</v>
      </c>
    </row>
    <row r="4" spans="1:25" ht="16">
      <c r="A4" t="s">
        <v>22</v>
      </c>
      <c r="B4" s="1" t="s">
        <v>23</v>
      </c>
      <c r="C4" s="1" t="s">
        <v>12</v>
      </c>
      <c r="D4" s="10">
        <v>27</v>
      </c>
      <c r="E4" s="11">
        <f>3.5 + 2.7</f>
        <v>6.2</v>
      </c>
      <c r="F4" s="1" t="s">
        <v>35</v>
      </c>
      <c r="G4" s="1" t="s">
        <v>36</v>
      </c>
      <c r="H4" s="10" t="s">
        <v>40</v>
      </c>
      <c r="I4" s="1" t="s">
        <v>38</v>
      </c>
      <c r="J4" s="10">
        <f>(7.25-0)/4</f>
        <v>1.8125</v>
      </c>
      <c r="K4" s="10"/>
      <c r="L4" s="10"/>
      <c r="M4" s="15" t="s">
        <v>144</v>
      </c>
      <c r="N4" s="10" t="s">
        <v>146</v>
      </c>
    </row>
    <row r="5" spans="1:25" ht="80">
      <c r="A5" t="s">
        <v>24</v>
      </c>
      <c r="B5" s="1" t="s">
        <v>25</v>
      </c>
      <c r="C5" s="1" t="s">
        <v>12</v>
      </c>
      <c r="D5" s="1">
        <v>17</v>
      </c>
      <c r="E5" s="11">
        <v>7.75</v>
      </c>
      <c r="F5" s="1" t="s">
        <v>35</v>
      </c>
      <c r="G5" s="1" t="s">
        <v>41</v>
      </c>
      <c r="H5" s="1" t="s">
        <v>42</v>
      </c>
      <c r="I5" s="1" t="s">
        <v>43</v>
      </c>
      <c r="J5" s="3">
        <f>(3.99-1.46)/1.35</f>
        <v>1.8740740740740742</v>
      </c>
      <c r="K5" s="3"/>
      <c r="L5" s="3"/>
      <c r="M5" s="3" t="s">
        <v>148</v>
      </c>
      <c r="N5" s="24" t="s">
        <v>147</v>
      </c>
    </row>
    <row r="6" spans="1:25" s="20" customFormat="1">
      <c r="A6" s="20" t="s">
        <v>29</v>
      </c>
      <c r="B6" s="21" t="s">
        <v>30</v>
      </c>
      <c r="C6" s="21" t="s">
        <v>12</v>
      </c>
      <c r="D6" s="21">
        <v>14</v>
      </c>
      <c r="E6" s="22">
        <v>6</v>
      </c>
      <c r="F6" s="21" t="s">
        <v>35</v>
      </c>
      <c r="G6" s="21" t="s">
        <v>36</v>
      </c>
      <c r="H6" s="21" t="s">
        <v>44</v>
      </c>
      <c r="I6" s="21" t="s">
        <v>38</v>
      </c>
      <c r="J6" s="22">
        <f>(11-2)/4</f>
        <v>2.25</v>
      </c>
      <c r="K6" s="22"/>
      <c r="L6" s="22"/>
      <c r="M6" s="22"/>
      <c r="N6" s="20" t="s">
        <v>131</v>
      </c>
    </row>
    <row r="7" spans="1:25" ht="96">
      <c r="A7" t="s">
        <v>31</v>
      </c>
      <c r="B7" s="1" t="s">
        <v>32</v>
      </c>
      <c r="C7" s="1" t="s">
        <v>12</v>
      </c>
      <c r="D7" s="1">
        <v>19</v>
      </c>
      <c r="E7" s="11">
        <v>6.54</v>
      </c>
      <c r="F7" s="1" t="s">
        <v>35</v>
      </c>
      <c r="G7" s="1" t="s">
        <v>41</v>
      </c>
      <c r="H7" s="1" t="s">
        <v>45</v>
      </c>
      <c r="I7" s="1" t="s">
        <v>43</v>
      </c>
      <c r="J7" s="1">
        <f>(3-1)/1.35</f>
        <v>1.4814814814814814</v>
      </c>
      <c r="K7" s="16" t="s">
        <v>129</v>
      </c>
      <c r="L7" s="16" t="s">
        <v>151</v>
      </c>
      <c r="M7" s="1" t="s">
        <v>150</v>
      </c>
      <c r="N7" s="24" t="s">
        <v>149</v>
      </c>
    </row>
    <row r="8" spans="1:25" s="12" customFormat="1" ht="48">
      <c r="A8" s="12" t="s">
        <v>33</v>
      </c>
      <c r="B8" s="10" t="s">
        <v>34</v>
      </c>
      <c r="C8" s="10" t="s">
        <v>12</v>
      </c>
      <c r="D8" s="10">
        <v>19</v>
      </c>
      <c r="E8" s="11">
        <v>6.43</v>
      </c>
      <c r="F8" s="10" t="s">
        <v>35</v>
      </c>
      <c r="G8" s="10" t="s">
        <v>14</v>
      </c>
      <c r="H8" s="10">
        <v>1.22</v>
      </c>
      <c r="I8" s="10" t="s">
        <v>14</v>
      </c>
      <c r="J8" s="11">
        <f>1.22</f>
        <v>1.22</v>
      </c>
      <c r="K8" s="23" t="s">
        <v>129</v>
      </c>
      <c r="L8" s="23" t="s">
        <v>152</v>
      </c>
      <c r="M8" s="23" t="s">
        <v>154</v>
      </c>
      <c r="N8" s="12" t="s">
        <v>153</v>
      </c>
    </row>
    <row r="9" spans="1:25">
      <c r="R9" s="2"/>
    </row>
  </sheetData>
  <sortState xmlns:xlrd2="http://schemas.microsoft.com/office/spreadsheetml/2017/richdata2" ref="B2:J8">
    <sortCondition ref="B2:B8"/>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6D1F-5E8C-4ADD-9122-008D574859DD}">
  <dimension ref="A1:K6"/>
  <sheetViews>
    <sheetView topLeftCell="C1" zoomScale="80" zoomScaleNormal="80" workbookViewId="0">
      <selection activeCell="A2" sqref="A2:XFD2"/>
    </sheetView>
  </sheetViews>
  <sheetFormatPr baseColWidth="10" defaultColWidth="8.83203125" defaultRowHeight="15"/>
  <cols>
    <col min="1" max="1" width="42.1640625" bestFit="1" customWidth="1"/>
    <col min="2" max="2" width="38.5" customWidth="1"/>
    <col min="3" max="3" width="21.5" customWidth="1"/>
    <col min="4" max="4" width="12.6640625" customWidth="1"/>
    <col min="5" max="5" width="42.5" customWidth="1"/>
    <col min="6" max="6" width="5" bestFit="1" customWidth="1"/>
    <col min="7" max="7" width="30.83203125" customWidth="1"/>
    <col min="8" max="8" width="48.5" bestFit="1" customWidth="1"/>
    <col min="9" max="9" width="35.33203125" customWidth="1"/>
  </cols>
  <sheetData>
    <row r="1" spans="1:11">
      <c r="A1" t="s">
        <v>0</v>
      </c>
      <c r="B1" t="s">
        <v>1</v>
      </c>
      <c r="C1" t="s">
        <v>2</v>
      </c>
      <c r="D1" t="s">
        <v>3</v>
      </c>
      <c r="E1" t="s">
        <v>211</v>
      </c>
      <c r="F1" t="s">
        <v>5</v>
      </c>
      <c r="G1" t="s">
        <v>128</v>
      </c>
      <c r="H1" t="s">
        <v>199</v>
      </c>
      <c r="I1" t="s">
        <v>94</v>
      </c>
      <c r="J1" t="s">
        <v>204</v>
      </c>
      <c r="K1" t="s">
        <v>197</v>
      </c>
    </row>
    <row r="2" spans="1:11">
      <c r="A2" t="s">
        <v>33</v>
      </c>
      <c r="B2" t="s">
        <v>34</v>
      </c>
      <c r="C2" t="s">
        <v>12</v>
      </c>
      <c r="D2">
        <v>19</v>
      </c>
      <c r="E2" s="12">
        <v>3</v>
      </c>
      <c r="F2" t="s">
        <v>35</v>
      </c>
      <c r="G2" t="s">
        <v>194</v>
      </c>
      <c r="H2" s="12" t="s">
        <v>201</v>
      </c>
      <c r="I2" t="s">
        <v>203</v>
      </c>
      <c r="J2">
        <v>3.75</v>
      </c>
      <c r="K2">
        <f>SUM(E2,J2)</f>
        <v>6.75</v>
      </c>
    </row>
    <row r="3" spans="1:11">
      <c r="A3" s="12" t="s">
        <v>22</v>
      </c>
      <c r="B3" s="12" t="s">
        <v>23</v>
      </c>
      <c r="C3" t="s">
        <v>12</v>
      </c>
      <c r="D3">
        <v>27</v>
      </c>
      <c r="E3" s="12">
        <v>6</v>
      </c>
      <c r="F3" t="s">
        <v>35</v>
      </c>
      <c r="G3" t="s">
        <v>132</v>
      </c>
      <c r="H3" s="12" t="s">
        <v>200</v>
      </c>
      <c r="I3" s="12" t="s">
        <v>202</v>
      </c>
      <c r="J3">
        <v>0</v>
      </c>
      <c r="K3">
        <f t="shared" ref="K3:K6" si="0">SUM(E3,J3)</f>
        <v>6</v>
      </c>
    </row>
    <row r="4" spans="1:11">
      <c r="A4" t="s">
        <v>31</v>
      </c>
      <c r="B4" t="s">
        <v>32</v>
      </c>
      <c r="C4" t="s">
        <v>12</v>
      </c>
      <c r="D4">
        <v>19</v>
      </c>
      <c r="E4">
        <v>4</v>
      </c>
      <c r="F4" t="s">
        <v>35</v>
      </c>
      <c r="G4" t="s">
        <v>195</v>
      </c>
      <c r="H4" t="s">
        <v>201</v>
      </c>
      <c r="I4" t="s">
        <v>203</v>
      </c>
      <c r="J4">
        <v>4.04</v>
      </c>
      <c r="K4">
        <f t="shared" si="0"/>
        <v>8.0399999999999991</v>
      </c>
    </row>
    <row r="5" spans="1:11">
      <c r="A5" t="s">
        <v>10</v>
      </c>
      <c r="B5" t="s">
        <v>11</v>
      </c>
      <c r="C5" t="s">
        <v>12</v>
      </c>
      <c r="D5">
        <v>12</v>
      </c>
      <c r="E5">
        <v>3.54</v>
      </c>
      <c r="F5" t="s">
        <v>35</v>
      </c>
      <c r="G5" t="s">
        <v>196</v>
      </c>
      <c r="H5" t="s">
        <v>201</v>
      </c>
      <c r="I5" t="s">
        <v>203</v>
      </c>
      <c r="J5">
        <v>4.25</v>
      </c>
      <c r="K5">
        <f t="shared" si="0"/>
        <v>7.79</v>
      </c>
    </row>
    <row r="6" spans="1:11">
      <c r="A6" s="17" t="s">
        <v>17</v>
      </c>
      <c r="B6" t="s">
        <v>18</v>
      </c>
      <c r="C6" t="s">
        <v>12</v>
      </c>
      <c r="D6">
        <v>30</v>
      </c>
      <c r="E6">
        <v>2.87</v>
      </c>
      <c r="F6" t="s">
        <v>35</v>
      </c>
      <c r="G6" t="s">
        <v>198</v>
      </c>
      <c r="H6" t="s">
        <v>201</v>
      </c>
      <c r="I6" t="s">
        <v>203</v>
      </c>
      <c r="J6">
        <v>4</v>
      </c>
      <c r="K6">
        <f t="shared" si="0"/>
        <v>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tabSelected="1" topLeftCell="D1" zoomScale="90" zoomScaleNormal="90" workbookViewId="0">
      <selection activeCell="L6" sqref="L6"/>
    </sheetView>
  </sheetViews>
  <sheetFormatPr baseColWidth="10" defaultColWidth="8.83203125" defaultRowHeight="15"/>
  <cols>
    <col min="1" max="1" width="27" bestFit="1" customWidth="1"/>
    <col min="2" max="2" width="14.5" bestFit="1" customWidth="1"/>
    <col min="3" max="3" width="8" bestFit="1" customWidth="1"/>
    <col min="4" max="4" width="23" customWidth="1"/>
    <col min="5" max="5" width="24.1640625" customWidth="1"/>
    <col min="6" max="6" width="18.83203125" bestFit="1" customWidth="1"/>
    <col min="7" max="7" width="27.5" customWidth="1"/>
    <col min="8" max="8" width="17.1640625" customWidth="1"/>
    <col min="9" max="9" width="28.5" bestFit="1" customWidth="1"/>
    <col min="10" max="10" width="5" bestFit="1" customWidth="1"/>
    <col min="11" max="11" width="41.5" customWidth="1"/>
    <col min="12" max="12" width="21.83203125" customWidth="1"/>
    <col min="13" max="13" width="31.5" customWidth="1"/>
    <col min="14" max="14" width="44" customWidth="1"/>
  </cols>
  <sheetData>
    <row r="1" spans="1:15">
      <c r="A1" t="s">
        <v>0</v>
      </c>
      <c r="B1" s="1" t="s">
        <v>1</v>
      </c>
      <c r="C1" s="1" t="s">
        <v>2</v>
      </c>
      <c r="D1" s="1" t="s">
        <v>3</v>
      </c>
      <c r="E1" s="1" t="s">
        <v>4</v>
      </c>
      <c r="F1" s="1" t="s">
        <v>5</v>
      </c>
      <c r="G1" s="1" t="s">
        <v>90</v>
      </c>
      <c r="H1" s="1" t="s">
        <v>91</v>
      </c>
      <c r="I1" s="1" t="s">
        <v>8</v>
      </c>
      <c r="J1" s="1" t="s">
        <v>9</v>
      </c>
      <c r="K1" s="1" t="s">
        <v>72</v>
      </c>
      <c r="L1" s="1" t="s">
        <v>88</v>
      </c>
      <c r="M1" s="1" t="s">
        <v>89</v>
      </c>
      <c r="N1" s="1" t="s">
        <v>170</v>
      </c>
    </row>
    <row r="2" spans="1:15" ht="168.5" customHeight="1">
      <c r="A2" t="s">
        <v>10</v>
      </c>
      <c r="B2" s="1" t="s">
        <v>11</v>
      </c>
      <c r="C2" s="1" t="s">
        <v>12</v>
      </c>
      <c r="D2" s="1">
        <v>12</v>
      </c>
      <c r="E2" s="3">
        <v>5.3</v>
      </c>
      <c r="F2" s="1" t="s">
        <v>13</v>
      </c>
      <c r="G2" s="1" t="s">
        <v>14</v>
      </c>
      <c r="H2" s="1">
        <v>1.2</v>
      </c>
      <c r="I2" s="1" t="s">
        <v>14</v>
      </c>
      <c r="J2" s="3">
        <f>H2</f>
        <v>1.2</v>
      </c>
      <c r="K2" s="1" t="s">
        <v>76</v>
      </c>
      <c r="L2" s="1" t="s">
        <v>92</v>
      </c>
      <c r="N2" s="1" t="s">
        <v>171</v>
      </c>
      <c r="O2" s="1" t="s">
        <v>102</v>
      </c>
    </row>
    <row r="3" spans="1:15">
      <c r="A3" t="s">
        <v>15</v>
      </c>
      <c r="B3" s="1" t="s">
        <v>16</v>
      </c>
      <c r="C3" s="1" t="s">
        <v>12</v>
      </c>
      <c r="D3" s="1">
        <v>13</v>
      </c>
      <c r="E3" s="3">
        <v>6.2439999999999998</v>
      </c>
      <c r="F3" s="1" t="s">
        <v>172</v>
      </c>
      <c r="G3" s="1" t="s">
        <v>14</v>
      </c>
      <c r="H3" s="1">
        <v>1.52718</v>
      </c>
      <c r="I3" s="1" t="s">
        <v>14</v>
      </c>
      <c r="J3" s="3">
        <f>H3</f>
        <v>1.52718</v>
      </c>
      <c r="K3" t="s">
        <v>76</v>
      </c>
      <c r="L3" s="1" t="s">
        <v>173</v>
      </c>
      <c r="N3" s="7" t="s">
        <v>171</v>
      </c>
      <c r="O3" t="s">
        <v>175</v>
      </c>
    </row>
    <row r="4" spans="1:15" s="12" customFormat="1">
      <c r="A4" s="12" t="s">
        <v>17</v>
      </c>
      <c r="B4" s="10" t="s">
        <v>18</v>
      </c>
      <c r="C4" s="10" t="s">
        <v>12</v>
      </c>
      <c r="D4" s="10">
        <v>30</v>
      </c>
      <c r="E4" s="11">
        <v>5.3970000000000002</v>
      </c>
      <c r="F4" s="10" t="s">
        <v>19</v>
      </c>
      <c r="G4" s="10" t="s">
        <v>20</v>
      </c>
      <c r="H4" s="10">
        <v>0.47</v>
      </c>
      <c r="I4" s="10" t="s">
        <v>21</v>
      </c>
      <c r="J4" s="11">
        <f>H4*SQRT(D4)</f>
        <v>2.5742960202742804</v>
      </c>
      <c r="K4" t="s">
        <v>76</v>
      </c>
      <c r="L4" s="12" t="s">
        <v>92</v>
      </c>
      <c r="M4" s="12" t="s">
        <v>178</v>
      </c>
      <c r="N4" s="7" t="s">
        <v>171</v>
      </c>
      <c r="O4" s="12" t="s">
        <v>174</v>
      </c>
    </row>
    <row r="5" spans="1:15">
      <c r="A5" t="s">
        <v>22</v>
      </c>
      <c r="B5" s="1" t="s">
        <v>23</v>
      </c>
      <c r="C5" s="1" t="s">
        <v>12</v>
      </c>
      <c r="D5" s="10">
        <v>27</v>
      </c>
      <c r="E5" s="11">
        <v>6</v>
      </c>
      <c r="F5" s="1" t="s">
        <v>13</v>
      </c>
      <c r="G5" s="1" t="s">
        <v>20</v>
      </c>
      <c r="H5" s="10">
        <v>0.3</v>
      </c>
      <c r="I5" s="1" t="s">
        <v>21</v>
      </c>
      <c r="J5" s="11">
        <f>H5*SQRT(D5)</f>
        <v>1.5588457268119895</v>
      </c>
      <c r="K5" s="1" t="s">
        <v>97</v>
      </c>
      <c r="L5" s="1" t="s">
        <v>98</v>
      </c>
      <c r="M5" s="1" t="s">
        <v>177</v>
      </c>
      <c r="N5" s="1" t="s">
        <v>171</v>
      </c>
      <c r="O5" s="1" t="s">
        <v>176</v>
      </c>
    </row>
    <row r="6" spans="1:15">
      <c r="A6" t="s">
        <v>24</v>
      </c>
      <c r="B6" s="1" t="s">
        <v>25</v>
      </c>
      <c r="C6" s="1" t="s">
        <v>12</v>
      </c>
      <c r="D6" s="1">
        <v>12</v>
      </c>
      <c r="E6" s="3">
        <v>4.7</v>
      </c>
      <c r="F6" s="1" t="s">
        <v>179</v>
      </c>
      <c r="G6" s="1" t="s">
        <v>26</v>
      </c>
      <c r="H6" s="1" t="s">
        <v>27</v>
      </c>
      <c r="I6" s="1" t="s">
        <v>28</v>
      </c>
      <c r="J6" s="3">
        <f>((5.7-3.7)/2)/TINV(0.05, (D6-1))*SQRT(D6)</f>
        <v>1.5738868566444701</v>
      </c>
      <c r="K6" s="1" t="s">
        <v>83</v>
      </c>
      <c r="L6" s="1" t="s">
        <v>92</v>
      </c>
      <c r="M6" s="1" t="s">
        <v>86</v>
      </c>
      <c r="N6" s="1" t="s">
        <v>171</v>
      </c>
      <c r="O6" t="s">
        <v>176</v>
      </c>
    </row>
    <row r="7" spans="1:15">
      <c r="A7" t="s">
        <v>31</v>
      </c>
      <c r="B7" s="1" t="s">
        <v>32</v>
      </c>
      <c r="C7" s="1" t="s">
        <v>12</v>
      </c>
      <c r="D7" s="1">
        <v>15</v>
      </c>
      <c r="E7" s="3">
        <v>5</v>
      </c>
      <c r="F7" s="1" t="s">
        <v>13</v>
      </c>
      <c r="G7" s="1" t="s">
        <v>14</v>
      </c>
      <c r="H7" s="1">
        <v>1.3</v>
      </c>
      <c r="I7" s="1" t="s">
        <v>14</v>
      </c>
      <c r="J7" s="1">
        <f>H7</f>
        <v>1.3</v>
      </c>
      <c r="K7" s="8" t="s">
        <v>84</v>
      </c>
      <c r="L7" s="1" t="s">
        <v>169</v>
      </c>
      <c r="M7" s="1" t="s">
        <v>86</v>
      </c>
      <c r="N7" s="7" t="s">
        <v>171</v>
      </c>
      <c r="O7" s="1" t="s">
        <v>102</v>
      </c>
    </row>
    <row r="8" spans="1:15">
      <c r="A8" t="s">
        <v>33</v>
      </c>
      <c r="B8" s="1" t="s">
        <v>34</v>
      </c>
      <c r="C8" s="1" t="s">
        <v>12</v>
      </c>
      <c r="D8" s="1">
        <v>19</v>
      </c>
      <c r="E8" s="3">
        <v>4.7699999999999996</v>
      </c>
      <c r="F8" s="1" t="s">
        <v>13</v>
      </c>
      <c r="G8" s="1" t="s">
        <v>20</v>
      </c>
      <c r="H8" s="10">
        <v>0.49</v>
      </c>
      <c r="I8" s="1" t="s">
        <v>14</v>
      </c>
      <c r="J8" s="3">
        <v>2.14</v>
      </c>
      <c r="K8" s="9" t="s">
        <v>84</v>
      </c>
      <c r="L8" t="s">
        <v>85</v>
      </c>
      <c r="M8" t="s">
        <v>87</v>
      </c>
      <c r="N8" s="7" t="s">
        <v>171</v>
      </c>
      <c r="O8" t="s">
        <v>102</v>
      </c>
    </row>
  </sheetData>
  <sortState xmlns:xlrd2="http://schemas.microsoft.com/office/spreadsheetml/2017/richdata2" ref="B2:J8">
    <sortCondition ref="B2:B8"/>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96de5c2-868e-484b-beba-e2b36d15680e">
      <Terms xmlns="http://schemas.microsoft.com/office/infopath/2007/PartnerControls"/>
    </lcf76f155ced4ddcb4097134ff3c332f>
    <TaxCatchAll xmlns="623fa2cb-9482-4e20-ba0e-b447be47487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B245E17A881444A36F0BC34ABCCAE3" ma:contentTypeVersion="9" ma:contentTypeDescription="Create a new document." ma:contentTypeScope="" ma:versionID="39c6956343d2aff7f137a409dae40f53">
  <xsd:schema xmlns:xsd="http://www.w3.org/2001/XMLSchema" xmlns:xs="http://www.w3.org/2001/XMLSchema" xmlns:p="http://schemas.microsoft.com/office/2006/metadata/properties" xmlns:ns2="a96de5c2-868e-484b-beba-e2b36d15680e" xmlns:ns3="623fa2cb-9482-4e20-ba0e-b447be47487f" targetNamespace="http://schemas.microsoft.com/office/2006/metadata/properties" ma:root="true" ma:fieldsID="3a0cc36cdfe302d70e3a9d4534880b3a" ns2:_="" ns3:_="">
    <xsd:import namespace="a96de5c2-868e-484b-beba-e2b36d15680e"/>
    <xsd:import namespace="623fa2cb-9482-4e20-ba0e-b447be47487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6de5c2-868e-484b-beba-e2b36d1568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8f9dd247-5f48-452a-8dc4-ff9a39258eb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3fa2cb-9482-4e20-ba0e-b447be47487f"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3c8023f-3bbf-4f3a-9cc1-2ba4ac0e709a}" ma:internalName="TaxCatchAll" ma:showField="CatchAllData" ma:web="623fa2cb-9482-4e20-ba0e-b447be4748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6948D-EABA-40C7-AF07-BE9C6146BCE5}">
  <ds:schemaRefs>
    <ds:schemaRef ds:uri="http://schemas.microsoft.com/office/2006/documentManagement/types"/>
    <ds:schemaRef ds:uri="http://purl.org/dc/terms/"/>
    <ds:schemaRef ds:uri="http://purl.org/dc/dcmitype/"/>
    <ds:schemaRef ds:uri="http://schemas.microsoft.com/office/infopath/2007/PartnerControls"/>
    <ds:schemaRef ds:uri="http://www.w3.org/XML/1998/namespace"/>
    <ds:schemaRef ds:uri="http://purl.org/dc/elements/1.1/"/>
    <ds:schemaRef ds:uri="623fa2cb-9482-4e20-ba0e-b447be47487f"/>
    <ds:schemaRef ds:uri="http://schemas.openxmlformats.org/package/2006/metadata/core-properties"/>
    <ds:schemaRef ds:uri="a96de5c2-868e-484b-beba-e2b36d15680e"/>
    <ds:schemaRef ds:uri="http://schemas.microsoft.com/office/2006/metadata/properties"/>
  </ds:schemaRefs>
</ds:datastoreItem>
</file>

<file path=customXml/itemProps2.xml><?xml version="1.0" encoding="utf-8"?>
<ds:datastoreItem xmlns:ds="http://schemas.openxmlformats.org/officeDocument/2006/customXml" ds:itemID="{DBE3A8DC-4FE6-4364-A389-3E4C39648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6de5c2-868e-484b-beba-e2b36d15680e"/>
    <ds:schemaRef ds:uri="623fa2cb-9482-4e20-ba0e-b447be474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169F8D-62CC-4AC0-8FE2-B6F8110A1E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auc_VL_pbo_after_first dose</vt:lpstr>
      <vt:lpstr>auc_VL_high_dose</vt:lpstr>
      <vt:lpstr>Mean time to peak VL</vt:lpstr>
      <vt:lpstr>auc_total_symptom_score_pb</vt:lpstr>
      <vt:lpstr>imputed_time_mean_VLpeak</vt:lpstr>
      <vt:lpstr>time_to_symptompeak</vt:lpstr>
      <vt:lpstr>mean_peak_VL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Kundu, Prosenjit</cp:lastModifiedBy>
  <cp:revision/>
  <dcterms:created xsi:type="dcterms:W3CDTF">2023-08-29T14:35:48Z</dcterms:created>
  <dcterms:modified xsi:type="dcterms:W3CDTF">2025-01-06T16:06:28Z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791b42f-c435-42ca-9531-75a3f42aae3d_Enabled">
    <vt:lpwstr>true</vt:lpwstr>
  </property>
  <property fmtid="{D5CDD505-2E9C-101B-9397-08002B2CF9AE}" pid="3" name="MSIP_Label_4791b42f-c435-42ca-9531-75a3f42aae3d_SetDate">
    <vt:lpwstr>2023-08-29T14:35:48Z</vt:lpwstr>
  </property>
  <property fmtid="{D5CDD505-2E9C-101B-9397-08002B2CF9AE}" pid="4" name="MSIP_Label_4791b42f-c435-42ca-9531-75a3f42aae3d_Method">
    <vt:lpwstr>Privileged</vt:lpwstr>
  </property>
  <property fmtid="{D5CDD505-2E9C-101B-9397-08002B2CF9AE}" pid="5" name="MSIP_Label_4791b42f-c435-42ca-9531-75a3f42aae3d_Name">
    <vt:lpwstr>4791b42f-c435-42ca-9531-75a3f42aae3d</vt:lpwstr>
  </property>
  <property fmtid="{D5CDD505-2E9C-101B-9397-08002B2CF9AE}" pid="6" name="MSIP_Label_4791b42f-c435-42ca-9531-75a3f42aae3d_SiteId">
    <vt:lpwstr>7a916015-20ae-4ad1-9170-eefd915e9272</vt:lpwstr>
  </property>
  <property fmtid="{D5CDD505-2E9C-101B-9397-08002B2CF9AE}" pid="7" name="MSIP_Label_4791b42f-c435-42ca-9531-75a3f42aae3d_ActionId">
    <vt:lpwstr>c2a323ea-cdc8-484f-a79d-288889164f8d</vt:lpwstr>
  </property>
  <property fmtid="{D5CDD505-2E9C-101B-9397-08002B2CF9AE}" pid="8" name="MSIP_Label_4791b42f-c435-42ca-9531-75a3f42aae3d_ContentBits">
    <vt:lpwstr>0</vt:lpwstr>
  </property>
  <property fmtid="{D5CDD505-2E9C-101B-9397-08002B2CF9AE}" pid="9" name="ContentTypeId">
    <vt:lpwstr>0x0101004BB245E17A881444A36F0BC34ABCCAE3</vt:lpwstr>
  </property>
  <property fmtid="{D5CDD505-2E9C-101B-9397-08002B2CF9AE}" pid="10" name="MediaServiceImageTags">
    <vt:lpwstr/>
  </property>
</Properties>
</file>