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kit\Desktop\BDM\"/>
    </mc:Choice>
  </mc:AlternateContent>
  <bookViews>
    <workbookView xWindow="0" yWindow="0" windowWidth="21770" windowHeight="8402"/>
  </bookViews>
  <sheets>
    <sheet name="Sheet1" sheetId="1" r:id="rId1"/>
  </sheets>
  <definedNames>
    <definedName name="Annual_Income_Increase_Rate">Sheet1!$B$12</definedName>
    <definedName name="Consulting_Income">Sheet1!#REF!</definedName>
    <definedName name="Current_Ful_time_Expense">Sheet1!$B$17</definedName>
    <definedName name="Current_Full_time_Expense">Sheet1!$B$17</definedName>
    <definedName name="Current_Full_time_income">Sheet1!$B$6</definedName>
    <definedName name="Current_Investment_return">Sheet1!$B$25</definedName>
    <definedName name="Current_Tax_Rate">Sheet1!$B$13</definedName>
    <definedName name="CURRERNT_AGE">Sheet1!$B$2</definedName>
    <definedName name="Expense_After_retirement_percent">Sheet1!$B$18</definedName>
    <definedName name="Global_Bond_Fund">Sheet1!$B$22</definedName>
    <definedName name="Inflation_Rate">Sheet1!$B$15</definedName>
    <definedName name="Last_Salary_before_Retirement">Sheet1!$B$33</definedName>
    <definedName name="Non_US_equities">Sheet1!$B$24</definedName>
    <definedName name="RA_Income">Sheet1!#REF!</definedName>
    <definedName name="Ret._Adj._Adj_Full_time_Income">Sheet1!$B$10</definedName>
    <definedName name="Ret._Adj._Retirement_fund">Sheet1!$B$9</definedName>
    <definedName name="Retired_Tax_Rate">Sheet1!$B$14</definedName>
    <definedName name="RETIREMENT_AGE_base_Case">Sheet1!$B$3</definedName>
    <definedName name="Retirement_contribution_By_bob">Sheet1!$B$8</definedName>
    <definedName name="Retirement_Fund_By_school">Sheet1!$B$7</definedName>
    <definedName name="Retirement_Investment_return">Sheet1!$B$26</definedName>
    <definedName name="Retirement_Year">Sheet1!$B$4</definedName>
    <definedName name="solver_eng" localSheetId="0" hidden="1">1</definedName>
    <definedName name="solver_neg" localSheetId="0" hidden="1">1</definedName>
    <definedName name="solver_num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  <definedName name="TIAA_long_term_bond_Fund">Sheet1!$B$21</definedName>
    <definedName name="TOTAL_CURRENT">Sheet1!$B$20</definedName>
    <definedName name="US_equities">Sheet1!$B$23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B25" i="1"/>
  <c r="B15" i="1"/>
  <c r="B12" i="1"/>
  <c r="B17" i="1"/>
  <c r="B13" i="1"/>
  <c r="B20" i="1"/>
  <c r="B26" i="1"/>
  <c r="B6" i="1"/>
  <c r="E38" i="1" l="1"/>
  <c r="F37" i="1"/>
  <c r="L37" i="1" s="1"/>
  <c r="N5" i="1"/>
  <c r="K5" i="1"/>
  <c r="F6" i="1"/>
  <c r="F22" i="1"/>
  <c r="F12" i="1"/>
  <c r="F13" i="1"/>
  <c r="F11" i="1"/>
  <c r="F27" i="1"/>
  <c r="L27" i="1" s="1"/>
  <c r="F16" i="1"/>
  <c r="F17" i="1"/>
  <c r="F30" i="1"/>
  <c r="L30" i="1" s="1"/>
  <c r="F33" i="1"/>
  <c r="L33" i="1" s="1"/>
  <c r="F32" i="1"/>
  <c r="L32" i="1" s="1"/>
  <c r="F18" i="1"/>
  <c r="F36" i="1"/>
  <c r="L36" i="1" s="1"/>
  <c r="F23" i="1"/>
  <c r="F9" i="1"/>
  <c r="F10" i="1"/>
  <c r="F26" i="1"/>
  <c r="L26" i="1" s="1"/>
  <c r="F20" i="1"/>
  <c r="F25" i="1"/>
  <c r="L25" i="1" s="1"/>
  <c r="F15" i="1"/>
  <c r="F31" i="1"/>
  <c r="L31" i="1" s="1"/>
  <c r="F24" i="1"/>
  <c r="F21" i="1"/>
  <c r="F14" i="1"/>
  <c r="F28" i="1"/>
  <c r="L28" i="1" s="1"/>
  <c r="F19" i="1"/>
  <c r="F35" i="1"/>
  <c r="L35" i="1" s="1"/>
  <c r="F29" i="1"/>
  <c r="L29" i="1" s="1"/>
  <c r="F34" i="1"/>
  <c r="L34" i="1" s="1"/>
  <c r="F7" i="1"/>
  <c r="F8" i="1"/>
  <c r="F5" i="1"/>
  <c r="G5" i="1"/>
  <c r="B4" i="1"/>
  <c r="N6" i="1" l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B36" i="1" s="1"/>
  <c r="H37" i="1"/>
  <c r="I37" i="1" s="1"/>
  <c r="G37" i="1"/>
  <c r="M37" i="1"/>
  <c r="E39" i="1"/>
  <c r="F38" i="1"/>
  <c r="L38" i="1" s="1"/>
  <c r="M33" i="1"/>
  <c r="M34" i="1"/>
  <c r="M31" i="1"/>
  <c r="M36" i="1"/>
  <c r="M30" i="1"/>
  <c r="M35" i="1"/>
  <c r="M32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B34" i="1"/>
  <c r="H34" i="1"/>
  <c r="H31" i="1"/>
  <c r="H36" i="1"/>
  <c r="H30" i="1"/>
  <c r="H33" i="1"/>
  <c r="H35" i="1"/>
  <c r="H32" i="1"/>
  <c r="H5" i="1"/>
  <c r="G35" i="1"/>
  <c r="G32" i="1"/>
  <c r="G33" i="1"/>
  <c r="G34" i="1"/>
  <c r="G31" i="1"/>
  <c r="G36" i="1"/>
  <c r="G30" i="1"/>
  <c r="G6" i="1"/>
  <c r="B10" i="1"/>
  <c r="B7" i="1"/>
  <c r="B21" i="1"/>
  <c r="B22" i="1"/>
  <c r="E40" i="1" l="1"/>
  <c r="F39" i="1"/>
  <c r="L39" i="1" s="1"/>
  <c r="J37" i="1"/>
  <c r="M38" i="1"/>
  <c r="G38" i="1"/>
  <c r="H38" i="1"/>
  <c r="I38" i="1" s="1"/>
  <c r="I30" i="1"/>
  <c r="J30" i="1" s="1"/>
  <c r="I32" i="1"/>
  <c r="J32" i="1" s="1"/>
  <c r="I36" i="1"/>
  <c r="J36" i="1" s="1"/>
  <c r="I35" i="1"/>
  <c r="J35" i="1" s="1"/>
  <c r="I31" i="1"/>
  <c r="J31" i="1" s="1"/>
  <c r="I33" i="1"/>
  <c r="J33" i="1" s="1"/>
  <c r="I34" i="1"/>
  <c r="J34" i="1" s="1"/>
  <c r="I5" i="1"/>
  <c r="J5" i="1" s="1"/>
  <c r="L5" i="1" s="1"/>
  <c r="G7" i="1"/>
  <c r="H6" i="1"/>
  <c r="B9" i="1"/>
  <c r="B24" i="1"/>
  <c r="B23" i="1"/>
  <c r="G39" i="1" l="1"/>
  <c r="M39" i="1"/>
  <c r="H39" i="1"/>
  <c r="I39" i="1" s="1"/>
  <c r="J38" i="1"/>
  <c r="E41" i="1"/>
  <c r="F40" i="1"/>
  <c r="L40" i="1" s="1"/>
  <c r="M5" i="1"/>
  <c r="I6" i="1"/>
  <c r="J6" i="1" s="1"/>
  <c r="L6" i="1" s="1"/>
  <c r="H7" i="1"/>
  <c r="G8" i="1"/>
  <c r="E42" i="1" l="1"/>
  <c r="F41" i="1"/>
  <c r="L41" i="1" s="1"/>
  <c r="M40" i="1"/>
  <c r="G40" i="1"/>
  <c r="H40" i="1"/>
  <c r="I40" i="1" s="1"/>
  <c r="J39" i="1"/>
  <c r="O5" i="1"/>
  <c r="P5" i="1" s="1"/>
  <c r="Q5" i="1" s="1"/>
  <c r="M6" i="1"/>
  <c r="I7" i="1"/>
  <c r="J7" i="1" s="1"/>
  <c r="L7" i="1" s="1"/>
  <c r="G9" i="1"/>
  <c r="H8" i="1"/>
  <c r="J40" i="1" l="1"/>
  <c r="H41" i="1"/>
  <c r="I41" i="1" s="1"/>
  <c r="G41" i="1"/>
  <c r="M41" i="1"/>
  <c r="E43" i="1"/>
  <c r="F42" i="1"/>
  <c r="L42" i="1" s="1"/>
  <c r="O6" i="1"/>
  <c r="P6" i="1" s="1"/>
  <c r="Q6" i="1" s="1"/>
  <c r="M7" i="1"/>
  <c r="I8" i="1"/>
  <c r="J8" i="1" s="1"/>
  <c r="L8" i="1" s="1"/>
  <c r="G10" i="1"/>
  <c r="H9" i="1"/>
  <c r="J41" i="1" l="1"/>
  <c r="E44" i="1"/>
  <c r="F43" i="1"/>
  <c r="L43" i="1" s="1"/>
  <c r="G42" i="1"/>
  <c r="M42" i="1"/>
  <c r="H42" i="1"/>
  <c r="O7" i="1"/>
  <c r="P7" i="1" s="1"/>
  <c r="Q7" i="1" s="1"/>
  <c r="M8" i="1"/>
  <c r="I9" i="1"/>
  <c r="J9" i="1" s="1"/>
  <c r="L9" i="1" s="1"/>
  <c r="G11" i="1"/>
  <c r="H10" i="1"/>
  <c r="I42" i="1" l="1"/>
  <c r="J42" i="1" s="1"/>
  <c r="E45" i="1"/>
  <c r="F44" i="1"/>
  <c r="L44" i="1" s="1"/>
  <c r="M43" i="1"/>
  <c r="H43" i="1"/>
  <c r="G43" i="1"/>
  <c r="O8" i="1"/>
  <c r="P8" i="1" s="1"/>
  <c r="Q8" i="1" s="1"/>
  <c r="M9" i="1"/>
  <c r="I10" i="1"/>
  <c r="J10" i="1" s="1"/>
  <c r="L10" i="1" s="1"/>
  <c r="G12" i="1"/>
  <c r="H11" i="1"/>
  <c r="E46" i="1" l="1"/>
  <c r="F45" i="1"/>
  <c r="L45" i="1" s="1"/>
  <c r="I43" i="1"/>
  <c r="J43" i="1" s="1"/>
  <c r="G44" i="1"/>
  <c r="M44" i="1"/>
  <c r="H44" i="1"/>
  <c r="I44" i="1" s="1"/>
  <c r="J44" i="1" s="1"/>
  <c r="O9" i="1"/>
  <c r="P9" i="1" s="1"/>
  <c r="Q9" i="1" s="1"/>
  <c r="M10" i="1"/>
  <c r="I11" i="1"/>
  <c r="J11" i="1" s="1"/>
  <c r="L11" i="1" s="1"/>
  <c r="G13" i="1"/>
  <c r="H12" i="1"/>
  <c r="E47" i="1" l="1"/>
  <c r="F46" i="1"/>
  <c r="L46" i="1" s="1"/>
  <c r="H45" i="1"/>
  <c r="I45" i="1" s="1"/>
  <c r="M45" i="1"/>
  <c r="G45" i="1"/>
  <c r="O10" i="1"/>
  <c r="P10" i="1" s="1"/>
  <c r="Q10" i="1" s="1"/>
  <c r="M11" i="1"/>
  <c r="I12" i="1"/>
  <c r="J12" i="1" s="1"/>
  <c r="L12" i="1" s="1"/>
  <c r="G14" i="1"/>
  <c r="H13" i="1"/>
  <c r="J45" i="1" l="1"/>
  <c r="M46" i="1"/>
  <c r="G46" i="1"/>
  <c r="H46" i="1"/>
  <c r="I46" i="1" s="1"/>
  <c r="J46" i="1" s="1"/>
  <c r="E48" i="1"/>
  <c r="F47" i="1"/>
  <c r="L47" i="1" s="1"/>
  <c r="O11" i="1"/>
  <c r="P11" i="1" s="1"/>
  <c r="Q11" i="1" s="1"/>
  <c r="M12" i="1"/>
  <c r="I13" i="1"/>
  <c r="J13" i="1" s="1"/>
  <c r="L13" i="1" s="1"/>
  <c r="G15" i="1"/>
  <c r="H14" i="1"/>
  <c r="E49" i="1" l="1"/>
  <c r="F48" i="1"/>
  <c r="L48" i="1" s="1"/>
  <c r="M47" i="1"/>
  <c r="G47" i="1"/>
  <c r="H47" i="1"/>
  <c r="I47" i="1" s="1"/>
  <c r="O12" i="1"/>
  <c r="P12" i="1" s="1"/>
  <c r="Q12" i="1" s="1"/>
  <c r="M13" i="1"/>
  <c r="I14" i="1"/>
  <c r="J14" i="1" s="1"/>
  <c r="L14" i="1" s="1"/>
  <c r="G16" i="1"/>
  <c r="H15" i="1"/>
  <c r="J47" i="1" l="1"/>
  <c r="M48" i="1"/>
  <c r="G48" i="1"/>
  <c r="H48" i="1"/>
  <c r="I48" i="1" s="1"/>
  <c r="J48" i="1" s="1"/>
  <c r="E50" i="1"/>
  <c r="F49" i="1"/>
  <c r="L49" i="1" s="1"/>
  <c r="O13" i="1"/>
  <c r="P13" i="1" s="1"/>
  <c r="Q13" i="1" s="1"/>
  <c r="M14" i="1"/>
  <c r="I15" i="1"/>
  <c r="J15" i="1" s="1"/>
  <c r="L15" i="1" s="1"/>
  <c r="G17" i="1"/>
  <c r="H16" i="1"/>
  <c r="E51" i="1" l="1"/>
  <c r="F50" i="1"/>
  <c r="L50" i="1" s="1"/>
  <c r="H49" i="1"/>
  <c r="I49" i="1" s="1"/>
  <c r="J49" i="1" s="1"/>
  <c r="G49" i="1"/>
  <c r="M49" i="1"/>
  <c r="O14" i="1"/>
  <c r="P14" i="1" s="1"/>
  <c r="Q14" i="1" s="1"/>
  <c r="M15" i="1"/>
  <c r="I16" i="1"/>
  <c r="J16" i="1" s="1"/>
  <c r="L16" i="1" s="1"/>
  <c r="G18" i="1"/>
  <c r="H17" i="1"/>
  <c r="G50" i="1" l="1"/>
  <c r="M50" i="1"/>
  <c r="H50" i="1"/>
  <c r="E52" i="1"/>
  <c r="F51" i="1"/>
  <c r="L51" i="1" s="1"/>
  <c r="O15" i="1"/>
  <c r="P15" i="1" s="1"/>
  <c r="Q15" i="1" s="1"/>
  <c r="M16" i="1"/>
  <c r="I17" i="1"/>
  <c r="J17" i="1" s="1"/>
  <c r="L17" i="1" s="1"/>
  <c r="G19" i="1"/>
  <c r="H18" i="1"/>
  <c r="H51" i="1" l="1"/>
  <c r="M51" i="1"/>
  <c r="G51" i="1"/>
  <c r="E53" i="1"/>
  <c r="F52" i="1"/>
  <c r="L52" i="1" s="1"/>
  <c r="I50" i="1"/>
  <c r="J50" i="1" s="1"/>
  <c r="O16" i="1"/>
  <c r="P16" i="1" s="1"/>
  <c r="Q16" i="1" s="1"/>
  <c r="M17" i="1"/>
  <c r="I18" i="1"/>
  <c r="J18" i="1" s="1"/>
  <c r="L18" i="1" s="1"/>
  <c r="G20" i="1"/>
  <c r="H19" i="1"/>
  <c r="G52" i="1" l="1"/>
  <c r="M52" i="1"/>
  <c r="H52" i="1"/>
  <c r="I51" i="1"/>
  <c r="J51" i="1" s="1"/>
  <c r="E54" i="1"/>
  <c r="F53" i="1"/>
  <c r="L53" i="1" s="1"/>
  <c r="O17" i="1"/>
  <c r="P17" i="1" s="1"/>
  <c r="Q17" i="1" s="1"/>
  <c r="M18" i="1"/>
  <c r="I19" i="1"/>
  <c r="J19" i="1" s="1"/>
  <c r="L19" i="1" s="1"/>
  <c r="G21" i="1"/>
  <c r="H20" i="1"/>
  <c r="H53" i="1" l="1"/>
  <c r="G53" i="1"/>
  <c r="M53" i="1"/>
  <c r="E55" i="1"/>
  <c r="F54" i="1"/>
  <c r="L54" i="1" s="1"/>
  <c r="I52" i="1"/>
  <c r="J52" i="1" s="1"/>
  <c r="O18" i="1"/>
  <c r="P18" i="1" s="1"/>
  <c r="Q18" i="1" s="1"/>
  <c r="M19" i="1"/>
  <c r="I20" i="1"/>
  <c r="J20" i="1" s="1"/>
  <c r="L20" i="1" s="1"/>
  <c r="G22" i="1"/>
  <c r="H21" i="1"/>
  <c r="M54" i="1" l="1"/>
  <c r="G54" i="1"/>
  <c r="H54" i="1"/>
  <c r="I54" i="1" s="1"/>
  <c r="I53" i="1"/>
  <c r="J53" i="1" s="1"/>
  <c r="F55" i="1"/>
  <c r="L55" i="1" s="1"/>
  <c r="E56" i="1"/>
  <c r="O19" i="1"/>
  <c r="P19" i="1" s="1"/>
  <c r="Q19" i="1" s="1"/>
  <c r="M20" i="1"/>
  <c r="I21" i="1"/>
  <c r="J21" i="1" s="1"/>
  <c r="L21" i="1" s="1"/>
  <c r="G23" i="1"/>
  <c r="H22" i="1"/>
  <c r="E57" i="1" l="1"/>
  <c r="F56" i="1"/>
  <c r="L56" i="1" s="1"/>
  <c r="G55" i="1"/>
  <c r="M55" i="1"/>
  <c r="H55" i="1"/>
  <c r="I55" i="1" s="1"/>
  <c r="J55" i="1" s="1"/>
  <c r="J54" i="1"/>
  <c r="O20" i="1"/>
  <c r="P20" i="1" s="1"/>
  <c r="Q20" i="1" s="1"/>
  <c r="M21" i="1"/>
  <c r="I22" i="1"/>
  <c r="J22" i="1" s="1"/>
  <c r="L22" i="1" s="1"/>
  <c r="G24" i="1"/>
  <c r="H23" i="1"/>
  <c r="M56" i="1" l="1"/>
  <c r="G56" i="1"/>
  <c r="H56" i="1"/>
  <c r="I56" i="1" s="1"/>
  <c r="E58" i="1"/>
  <c r="F57" i="1"/>
  <c r="L57" i="1" s="1"/>
  <c r="O21" i="1"/>
  <c r="P21" i="1" s="1"/>
  <c r="Q21" i="1" s="1"/>
  <c r="M22" i="1"/>
  <c r="I23" i="1"/>
  <c r="J23" i="1" s="1"/>
  <c r="L23" i="1" s="1"/>
  <c r="G25" i="1"/>
  <c r="H24" i="1"/>
  <c r="E59" i="1" l="1"/>
  <c r="F58" i="1"/>
  <c r="L58" i="1" s="1"/>
  <c r="J56" i="1"/>
  <c r="H57" i="1"/>
  <c r="I57" i="1" s="1"/>
  <c r="J57" i="1" s="1"/>
  <c r="G57" i="1"/>
  <c r="M57" i="1"/>
  <c r="O22" i="1"/>
  <c r="P22" i="1" s="1"/>
  <c r="Q22" i="1" s="1"/>
  <c r="M23" i="1"/>
  <c r="G26" i="1"/>
  <c r="G27" i="1" s="1"/>
  <c r="I24" i="1"/>
  <c r="J24" i="1" s="1"/>
  <c r="L24" i="1" s="1"/>
  <c r="H25" i="1"/>
  <c r="G58" i="1" l="1"/>
  <c r="M58" i="1"/>
  <c r="H58" i="1"/>
  <c r="E60" i="1"/>
  <c r="F59" i="1"/>
  <c r="L59" i="1" s="1"/>
  <c r="O23" i="1"/>
  <c r="P23" i="1" s="1"/>
  <c r="Q23" i="1" s="1"/>
  <c r="M24" i="1"/>
  <c r="H26" i="1"/>
  <c r="I25" i="1"/>
  <c r="J25" i="1" s="1"/>
  <c r="G28" i="1"/>
  <c r="H27" i="1"/>
  <c r="M59" i="1" l="1"/>
  <c r="H59" i="1"/>
  <c r="I59" i="1" s="1"/>
  <c r="J59" i="1" s="1"/>
  <c r="G59" i="1"/>
  <c r="E61" i="1"/>
  <c r="F60" i="1"/>
  <c r="L60" i="1" s="1"/>
  <c r="I58" i="1"/>
  <c r="J58" i="1" s="1"/>
  <c r="O24" i="1"/>
  <c r="B37" i="1" s="1"/>
  <c r="B38" i="1" s="1"/>
  <c r="I26" i="1"/>
  <c r="J26" i="1" s="1"/>
  <c r="M25" i="1"/>
  <c r="I27" i="1"/>
  <c r="J27" i="1" s="1"/>
  <c r="G29" i="1"/>
  <c r="H28" i="1"/>
  <c r="P24" i="1" l="1"/>
  <c r="Q24" i="1" s="1"/>
  <c r="G60" i="1"/>
  <c r="M60" i="1"/>
  <c r="H60" i="1"/>
  <c r="E62" i="1"/>
  <c r="F61" i="1"/>
  <c r="L61" i="1" s="1"/>
  <c r="O25" i="1"/>
  <c r="M26" i="1"/>
  <c r="I28" i="1"/>
  <c r="J28" i="1" s="1"/>
  <c r="H29" i="1"/>
  <c r="B33" i="1"/>
  <c r="I60" i="1" l="1"/>
  <c r="J60" i="1" s="1"/>
  <c r="H61" i="1"/>
  <c r="I61" i="1" s="1"/>
  <c r="J61" i="1" s="1"/>
  <c r="M61" i="1"/>
  <c r="G61" i="1"/>
  <c r="E63" i="1"/>
  <c r="F62" i="1"/>
  <c r="K25" i="1"/>
  <c r="K26" i="1"/>
  <c r="K37" i="1"/>
  <c r="K41" i="1"/>
  <c r="K45" i="1"/>
  <c r="K49" i="1"/>
  <c r="K53" i="1"/>
  <c r="K57" i="1"/>
  <c r="K61" i="1"/>
  <c r="K55" i="1"/>
  <c r="K44" i="1"/>
  <c r="K56" i="1"/>
  <c r="K38" i="1"/>
  <c r="K42" i="1"/>
  <c r="K46" i="1"/>
  <c r="K50" i="1"/>
  <c r="K54" i="1"/>
  <c r="K58" i="1"/>
  <c r="K51" i="1"/>
  <c r="K40" i="1"/>
  <c r="K52" i="1"/>
  <c r="K39" i="1"/>
  <c r="K43" i="1"/>
  <c r="K47" i="1"/>
  <c r="K59" i="1"/>
  <c r="K48" i="1"/>
  <c r="K60" i="1"/>
  <c r="O26" i="1"/>
  <c r="I29" i="1"/>
  <c r="J29" i="1" s="1"/>
  <c r="K27" i="1"/>
  <c r="K33" i="1"/>
  <c r="K35" i="1"/>
  <c r="K31" i="1"/>
  <c r="K34" i="1"/>
  <c r="K36" i="1"/>
  <c r="K32" i="1"/>
  <c r="K30" i="1"/>
  <c r="K62" i="1" l="1"/>
  <c r="L62" i="1"/>
  <c r="M62" i="1"/>
  <c r="G62" i="1"/>
  <c r="H62" i="1"/>
  <c r="E64" i="1"/>
  <c r="F63" i="1"/>
  <c r="L63" i="1" s="1"/>
  <c r="N25" i="1"/>
  <c r="M27" i="1"/>
  <c r="K28" i="1"/>
  <c r="E65" i="1" l="1"/>
  <c r="F65" i="1" s="1"/>
  <c r="L65" i="1" s="1"/>
  <c r="F64" i="1"/>
  <c r="L64" i="1" s="1"/>
  <c r="M63" i="1"/>
  <c r="G63" i="1"/>
  <c r="H63" i="1"/>
  <c r="I63" i="1" s="1"/>
  <c r="K63" i="1"/>
  <c r="I62" i="1"/>
  <c r="J62" i="1" s="1"/>
  <c r="N26" i="1"/>
  <c r="N27" i="1" s="1"/>
  <c r="N28" i="1" s="1"/>
  <c r="P25" i="1"/>
  <c r="Q25" i="1" s="1"/>
  <c r="O27" i="1"/>
  <c r="M28" i="1"/>
  <c r="K29" i="1"/>
  <c r="J63" i="1" l="1"/>
  <c r="M64" i="1"/>
  <c r="G64" i="1"/>
  <c r="H64" i="1"/>
  <c r="K64" i="1"/>
  <c r="P26" i="1"/>
  <c r="H65" i="1"/>
  <c r="I65" i="1" s="1"/>
  <c r="M65" i="1"/>
  <c r="G65" i="1"/>
  <c r="K65" i="1"/>
  <c r="N29" i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O28" i="1"/>
  <c r="M29" i="1"/>
  <c r="N64" i="1" l="1"/>
  <c r="N65" i="1" s="1"/>
  <c r="P27" i="1"/>
  <c r="Q27" i="1" s="1"/>
  <c r="Q26" i="1"/>
  <c r="I64" i="1"/>
  <c r="J64" i="1" s="1"/>
  <c r="J65" i="1"/>
  <c r="O29" i="1"/>
  <c r="P28" i="1" l="1"/>
  <c r="Q28" i="1" s="1"/>
  <c r="O30" i="1"/>
  <c r="P29" i="1" l="1"/>
  <c r="O31" i="1"/>
  <c r="P30" i="1" l="1"/>
  <c r="Q29" i="1"/>
  <c r="O32" i="1"/>
  <c r="P31" i="1" l="1"/>
  <c r="Q30" i="1"/>
  <c r="O33" i="1"/>
  <c r="P32" i="1" l="1"/>
  <c r="Q31" i="1"/>
  <c r="O34" i="1"/>
  <c r="P33" i="1" l="1"/>
  <c r="Q32" i="1"/>
  <c r="O35" i="1"/>
  <c r="P34" i="1" l="1"/>
  <c r="Q33" i="1"/>
  <c r="O36" i="1"/>
  <c r="P35" i="1" l="1"/>
  <c r="Q34" i="1"/>
  <c r="O37" i="1"/>
  <c r="Q35" i="1" l="1"/>
  <c r="P36" i="1"/>
  <c r="O38" i="1"/>
  <c r="P37" i="1" l="1"/>
  <c r="Q36" i="1"/>
  <c r="O39" i="1"/>
  <c r="P38" i="1" l="1"/>
  <c r="Q37" i="1"/>
  <c r="O40" i="1"/>
  <c r="P39" i="1" l="1"/>
  <c r="Q38" i="1"/>
  <c r="O41" i="1"/>
  <c r="P40" i="1" l="1"/>
  <c r="Q39" i="1"/>
  <c r="O42" i="1"/>
  <c r="P41" i="1" l="1"/>
  <c r="Q40" i="1"/>
  <c r="O43" i="1"/>
  <c r="P42" i="1" l="1"/>
  <c r="Q41" i="1"/>
  <c r="O44" i="1"/>
  <c r="P43" i="1" l="1"/>
  <c r="Q42" i="1"/>
  <c r="O45" i="1"/>
  <c r="P44" i="1" l="1"/>
  <c r="Q43" i="1"/>
  <c r="O46" i="1"/>
  <c r="Q44" i="1" l="1"/>
  <c r="P45" i="1"/>
  <c r="O47" i="1"/>
  <c r="Q45" i="1" l="1"/>
  <c r="P46" i="1"/>
  <c r="O48" i="1"/>
  <c r="Q46" i="1" l="1"/>
  <c r="P47" i="1"/>
  <c r="O49" i="1"/>
  <c r="Q47" i="1" l="1"/>
  <c r="P48" i="1"/>
  <c r="O50" i="1"/>
  <c r="Q48" i="1" l="1"/>
  <c r="P49" i="1"/>
  <c r="O51" i="1"/>
  <c r="Q49" i="1" l="1"/>
  <c r="P50" i="1"/>
  <c r="O52" i="1"/>
  <c r="Q50" i="1" l="1"/>
  <c r="P51" i="1"/>
  <c r="O53" i="1"/>
  <c r="Q51" i="1" l="1"/>
  <c r="P52" i="1"/>
  <c r="O54" i="1"/>
  <c r="Q52" i="1" l="1"/>
  <c r="P53" i="1"/>
  <c r="O55" i="1"/>
  <c r="Q53" i="1" l="1"/>
  <c r="P54" i="1"/>
  <c r="O56" i="1"/>
  <c r="Q54" i="1" l="1"/>
  <c r="P55" i="1"/>
  <c r="O57" i="1"/>
  <c r="Q55" i="1" l="1"/>
  <c r="P56" i="1"/>
  <c r="O58" i="1"/>
  <c r="Q56" i="1" l="1"/>
  <c r="P57" i="1"/>
  <c r="O59" i="1"/>
  <c r="Q57" i="1" l="1"/>
  <c r="P58" i="1"/>
  <c r="O60" i="1"/>
  <c r="Q58" i="1" l="1"/>
  <c r="P59" i="1"/>
  <c r="O61" i="1"/>
  <c r="Q59" i="1" l="1"/>
  <c r="P60" i="1"/>
  <c r="O62" i="1"/>
  <c r="Q60" i="1" l="1"/>
  <c r="P61" i="1"/>
  <c r="O63" i="1"/>
  <c r="Q61" i="1" l="1"/>
  <c r="P62" i="1"/>
  <c r="O64" i="1"/>
  <c r="Q62" i="1" l="1"/>
  <c r="P63" i="1"/>
  <c r="O65" i="1"/>
  <c r="Q63" i="1" l="1"/>
  <c r="P64" i="1"/>
  <c r="Q64" i="1" l="1"/>
  <c r="P65" i="1"/>
  <c r="Q65" i="1" s="1"/>
  <c r="B28" i="1" l="1"/>
  <c r="B29" i="1" s="1"/>
</calcChain>
</file>

<file path=xl/sharedStrings.xml><?xml version="1.0" encoding="utf-8"?>
<sst xmlns="http://schemas.openxmlformats.org/spreadsheetml/2006/main" count="48" uniqueCount="46">
  <si>
    <t>Current Full time income</t>
  </si>
  <si>
    <t>Retirement Fund By school</t>
  </si>
  <si>
    <t>Annual Income Increase Rate</t>
  </si>
  <si>
    <t>Inflation Rate</t>
  </si>
  <si>
    <t>Ret. Adj. Retirement fund</t>
  </si>
  <si>
    <t>Ret. Adj. Adj Full time Income</t>
  </si>
  <si>
    <t>INCOME</t>
  </si>
  <si>
    <t>RATES</t>
  </si>
  <si>
    <t>EXPENSES</t>
  </si>
  <si>
    <t>INVESTMENTS</t>
  </si>
  <si>
    <t>Expense After retirement percent</t>
  </si>
  <si>
    <t>TOTAL CURRENT</t>
  </si>
  <si>
    <t>TIAA long term bond Fund</t>
  </si>
  <si>
    <t>Global Bond Fund</t>
  </si>
  <si>
    <t>US equities</t>
  </si>
  <si>
    <t>Non US equities</t>
  </si>
  <si>
    <t>Current Investment return</t>
  </si>
  <si>
    <t>Retirement Investment return</t>
  </si>
  <si>
    <t>TAX</t>
  </si>
  <si>
    <t>SALARY</t>
  </si>
  <si>
    <t>Retirement contribution by school</t>
  </si>
  <si>
    <t>AGE</t>
  </si>
  <si>
    <t>Bob's Current Age</t>
  </si>
  <si>
    <t>Retirement Age (Base Case)</t>
  </si>
  <si>
    <t>Years left till the retirement</t>
  </si>
  <si>
    <t>Tax Rate (Post-retirement)</t>
  </si>
  <si>
    <t>Tax Rate (Pre-retirement)</t>
  </si>
  <si>
    <t>Current Full time Expense</t>
  </si>
  <si>
    <t>Retirement contribution By Bob</t>
  </si>
  <si>
    <t>Last Salary before Retirement</t>
  </si>
  <si>
    <t>IS RETIRED?</t>
  </si>
  <si>
    <t>Offset</t>
  </si>
  <si>
    <t>Years of retirement</t>
  </si>
  <si>
    <t>Last investment return before retirement</t>
  </si>
  <si>
    <t>INVESTMENT FUND VALUE</t>
  </si>
  <si>
    <t>NET INCOME</t>
  </si>
  <si>
    <t>Bob's retirement contribution</t>
  </si>
  <si>
    <t>TOTAL RETIREMENT CONTRIBUTION</t>
  </si>
  <si>
    <t>CUMULATIVE RET FUND</t>
  </si>
  <si>
    <t>TOTAL AVAILABLE AMOUNT</t>
  </si>
  <si>
    <t>Total available amount on year of retirement</t>
  </si>
  <si>
    <t>Cum retirement fund before retirement</t>
  </si>
  <si>
    <t>ZERO ASSET YEAR</t>
  </si>
  <si>
    <t>ZERO ASSET AGE</t>
  </si>
  <si>
    <t>Zero Asset?</t>
  </si>
  <si>
    <t>Retirement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</si>
</sst>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65">
    <xf numFmtId="0" fontId="0" fillId="0" borderId="0" xfId="0"/>
    <xf numFmtId="44" fontId="0" fillId="0" borderId="0" xfId="0" applyNumberFormat="1"/>
    <xf numFmtId="0" fontId="2" fillId="0" borderId="1" xfId="0" applyFont="1" applyBorder="1"/>
    <xf numFmtId="0" fontId="0" fillId="0" borderId="0" xfId="0" applyBorder="1"/>
    <xf numFmtId="44" fontId="0" fillId="0" borderId="0" xfId="1" applyFont="1" applyFill="1" applyBorder="1"/>
    <xf numFmtId="44" fontId="0" fillId="0" borderId="0" xfId="1" applyFont="1" applyBorder="1"/>
    <xf numFmtId="44" fontId="0" fillId="0" borderId="0" xfId="0" applyNumberFormat="1" applyBorder="1"/>
    <xf numFmtId="0" fontId="0" fillId="0" borderId="2" xfId="0" applyBorder="1"/>
    <xf numFmtId="44" fontId="0" fillId="0" borderId="2" xfId="1" applyFont="1" applyFill="1" applyBorder="1"/>
    <xf numFmtId="44" fontId="0" fillId="0" borderId="2" xfId="1" applyFont="1" applyBorder="1"/>
    <xf numFmtId="44" fontId="0" fillId="0" borderId="2" xfId="0" applyNumberFormat="1" applyBorder="1"/>
    <xf numFmtId="0" fontId="5" fillId="4" borderId="2" xfId="3" applyFont="1" applyBorder="1" applyAlignment="1">
      <alignment horizontal="center"/>
    </xf>
    <xf numFmtId="0" fontId="5" fillId="4" borderId="3" xfId="3" applyFont="1" applyBorder="1" applyAlignment="1">
      <alignment horizontal="center"/>
    </xf>
    <xf numFmtId="0" fontId="5" fillId="4" borderId="4" xfId="3" applyFont="1" applyBorder="1" applyAlignment="1">
      <alignment horizontal="center"/>
    </xf>
    <xf numFmtId="0" fontId="5" fillId="4" borderId="5" xfId="3" applyFont="1" applyBorder="1" applyAlignment="1">
      <alignment horizontal="center"/>
    </xf>
    <xf numFmtId="0" fontId="5" fillId="4" borderId="6" xfId="3" applyFont="1" applyBorder="1" applyAlignment="1">
      <alignment horizontal="center"/>
    </xf>
    <xf numFmtId="0" fontId="5" fillId="4" borderId="7" xfId="3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44" fontId="0" fillId="0" borderId="13" xfId="1" applyFont="1" applyFill="1" applyBorder="1"/>
    <xf numFmtId="44" fontId="0" fillId="0" borderId="13" xfId="1" applyFont="1" applyBorder="1"/>
    <xf numFmtId="4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7" xfId="0" applyFill="1" applyBorder="1"/>
    <xf numFmtId="0" fontId="0" fillId="2" borderId="18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 applyAlignment="1">
      <alignment horizontal="left"/>
    </xf>
    <xf numFmtId="44" fontId="2" fillId="0" borderId="18" xfId="1" applyFont="1" applyBorder="1" applyAlignment="1"/>
    <xf numFmtId="0" fontId="0" fillId="0" borderId="17" xfId="0" applyBorder="1" applyAlignment="1"/>
    <xf numFmtId="44" fontId="0" fillId="0" borderId="18" xfId="1" applyFont="1" applyBorder="1"/>
    <xf numFmtId="0" fontId="0" fillId="0" borderId="19" xfId="0" applyBorder="1" applyAlignment="1"/>
    <xf numFmtId="0" fontId="0" fillId="0" borderId="21" xfId="0" applyBorder="1" applyAlignment="1"/>
    <xf numFmtId="44" fontId="0" fillId="0" borderId="22" xfId="1" applyFont="1" applyBorder="1"/>
    <xf numFmtId="10" fontId="0" fillId="0" borderId="18" xfId="2" applyNumberFormat="1" applyFont="1" applyBorder="1"/>
    <xf numFmtId="9" fontId="0" fillId="0" borderId="18" xfId="2" applyFont="1" applyBorder="1"/>
    <xf numFmtId="9" fontId="0" fillId="0" borderId="22" xfId="2" applyFont="1" applyBorder="1"/>
    <xf numFmtId="44" fontId="2" fillId="0" borderId="18" xfId="1" applyFont="1" applyBorder="1"/>
    <xf numFmtId="0" fontId="0" fillId="0" borderId="17" xfId="0" applyBorder="1" applyAlignment="1">
      <alignment horizontal="left" indent="1"/>
    </xf>
    <xf numFmtId="0" fontId="0" fillId="0" borderId="17" xfId="0" applyBorder="1" applyAlignment="1">
      <alignment horizontal="left" indent="2"/>
    </xf>
    <xf numFmtId="44" fontId="0" fillId="0" borderId="18" xfId="0" applyNumberFormat="1" applyBorder="1"/>
    <xf numFmtId="0" fontId="0" fillId="0" borderId="17" xfId="0" applyBorder="1" applyAlignment="1">
      <alignment horizontal="left" indent="3"/>
    </xf>
    <xf numFmtId="9" fontId="0" fillId="0" borderId="18" xfId="2" applyFont="1" applyBorder="1" applyAlignment="1">
      <alignment horizontal="right" indent="1"/>
    </xf>
    <xf numFmtId="9" fontId="0" fillId="0" borderId="20" xfId="2" applyFont="1" applyBorder="1" applyAlignment="1">
      <alignment horizontal="right" indent="1"/>
    </xf>
    <xf numFmtId="0" fontId="3" fillId="3" borderId="15" xfId="0" applyFont="1" applyFill="1" applyBorder="1" applyAlignment="1"/>
    <xf numFmtId="0" fontId="3" fillId="3" borderId="19" xfId="0" applyFont="1" applyFill="1" applyBorder="1" applyAlignment="1">
      <alignment horizontal="left"/>
    </xf>
    <xf numFmtId="0" fontId="4" fillId="3" borderId="16" xfId="0" applyFont="1" applyFill="1" applyBorder="1"/>
    <xf numFmtId="0" fontId="4" fillId="3" borderId="20" xfId="0" applyFont="1" applyFill="1" applyBorder="1"/>
    <xf numFmtId="0" fontId="0" fillId="0" borderId="23" xfId="0" applyBorder="1"/>
    <xf numFmtId="9" fontId="0" fillId="0" borderId="24" xfId="0" applyNumberFormat="1" applyBorder="1"/>
    <xf numFmtId="44" fontId="0" fillId="0" borderId="16" xfId="1" applyFont="1" applyBorder="1"/>
    <xf numFmtId="0" fontId="0" fillId="0" borderId="17" xfId="0" applyBorder="1"/>
    <xf numFmtId="44" fontId="0" fillId="0" borderId="20" xfId="0" applyNumberFormat="1" applyBorder="1"/>
  </cellXfs>
  <cellStyles count="4">
    <cellStyle name="Accent1" xfId="3" builtinId="29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65532"/>
  <sheetViews>
    <sheetView tabSelected="1" zoomScaleNormal="100" workbookViewId="0">
      <pane xSplit="2" topLeftCell="C1" activePane="topRight" state="frozen"/>
      <selection pane="topRight"/>
    </sheetView>
  </sheetViews>
  <sheetFormatPr defaultRowHeight="14.2" x14ac:dyDescent="0.3"/>
  <cols>
    <col min="1" max="1" width="35.59765625" bestFit="1" customWidth="1"/>
    <col min="2" max="2" width="14.3984375" bestFit="1" customWidth="1"/>
    <col min="3" max="3" width="27.3984375" bestFit="1" customWidth="1"/>
    <col min="4" max="4" width="14.3984375" bestFit="1" customWidth="1"/>
    <col min="5" max="5" width="12.09765625" bestFit="1" customWidth="1"/>
    <col min="6" max="6" width="10.19921875" bestFit="1" customWidth="1"/>
    <col min="7" max="7" width="13.296875" bestFit="1" customWidth="1"/>
    <col min="8" max="9" width="12.09765625" bestFit="1" customWidth="1"/>
    <col min="10" max="10" width="13.5" bestFit="1" customWidth="1"/>
    <col min="11" max="11" width="12.09765625" customWidth="1"/>
    <col min="12" max="12" width="25" bestFit="1" customWidth="1"/>
    <col min="13" max="13" width="29.8984375" bestFit="1" customWidth="1"/>
    <col min="14" max="14" width="22.19921875" bestFit="1" customWidth="1"/>
    <col min="15" max="15" width="19.8984375" bestFit="1" customWidth="1"/>
    <col min="16" max="16" width="23.5" bestFit="1" customWidth="1"/>
    <col min="17" max="17" width="10.69921875" bestFit="1" customWidth="1"/>
  </cols>
  <sheetData>
    <row r="1" spans="1:17" ht="14.75" thickBot="1" x14ac:dyDescent="0.35"/>
    <row r="2" spans="1:17" x14ac:dyDescent="0.3">
      <c r="A2" s="29" t="s">
        <v>22</v>
      </c>
      <c r="B2" s="30">
        <v>46</v>
      </c>
      <c r="D2" s="12" t="s">
        <v>45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</row>
    <row r="3" spans="1:17" x14ac:dyDescent="0.3">
      <c r="A3" s="31" t="s">
        <v>23</v>
      </c>
      <c r="B3" s="32">
        <v>65</v>
      </c>
      <c r="D3" s="15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6"/>
    </row>
    <row r="4" spans="1:17" ht="14.75" thickBot="1" x14ac:dyDescent="0.35">
      <c r="A4" s="35" t="s">
        <v>24</v>
      </c>
      <c r="B4" s="36">
        <f>B3-B2</f>
        <v>19</v>
      </c>
      <c r="D4" s="17" t="s">
        <v>32</v>
      </c>
      <c r="E4" s="2" t="s">
        <v>21</v>
      </c>
      <c r="F4" s="2" t="s">
        <v>30</v>
      </c>
      <c r="G4" s="2" t="s">
        <v>19</v>
      </c>
      <c r="H4" s="2" t="s">
        <v>6</v>
      </c>
      <c r="I4" s="2" t="s">
        <v>18</v>
      </c>
      <c r="J4" s="2" t="s">
        <v>35</v>
      </c>
      <c r="K4" s="2" t="s">
        <v>8</v>
      </c>
      <c r="L4" s="2" t="s">
        <v>36</v>
      </c>
      <c r="M4" s="2" t="s">
        <v>37</v>
      </c>
      <c r="N4" s="2" t="s">
        <v>34</v>
      </c>
      <c r="O4" s="2" t="s">
        <v>38</v>
      </c>
      <c r="P4" s="2" t="s">
        <v>39</v>
      </c>
      <c r="Q4" s="18" t="s">
        <v>44</v>
      </c>
    </row>
    <row r="5" spans="1:17" x14ac:dyDescent="0.3">
      <c r="A5" s="37" t="s">
        <v>6</v>
      </c>
      <c r="B5" s="38"/>
      <c r="D5" s="19">
        <v>0</v>
      </c>
      <c r="E5" s="3">
        <f>CURRERNT_AGE</f>
        <v>46</v>
      </c>
      <c r="F5" s="3">
        <f>IF($B$3&gt;=E5,0,1)</f>
        <v>0</v>
      </c>
      <c r="G5" s="4">
        <f ca="1">B6</f>
        <v>95000</v>
      </c>
      <c r="H5" s="4">
        <f ca="1">IF(F5=0,(G5+(G5*(2/9))),0)</f>
        <v>116111.11111111111</v>
      </c>
      <c r="I5" s="5">
        <f t="shared" ref="I5:I36" ca="1" si="0">IF(F5=0,H5*$B$13,H5*$B$14)</f>
        <v>38316.666666666672</v>
      </c>
      <c r="J5" s="5">
        <f t="shared" ref="J5:J36" ca="1" si="1">H5-I5</f>
        <v>77794.444444444438</v>
      </c>
      <c r="K5" s="4">
        <f ca="1">Current_Ful_time_Expense</f>
        <v>75000</v>
      </c>
      <c r="L5" s="4">
        <f t="shared" ref="L5:L36" ca="1" si="2">IF(F5=0,IF((J5-K5)&lt;=Retirement_contribution_By_bob,J5-K5,Retirement_contribution_By_bob),0)</f>
        <v>2794.444444444438</v>
      </c>
      <c r="M5" s="4">
        <f t="shared" ref="M5:M36" ca="1" si="3">IF(F5=0,(($B$31*G5)+L5),0)</f>
        <v>12294.444444444438</v>
      </c>
      <c r="N5" s="6">
        <f ca="1">TOTAL_CURRENT</f>
        <v>137000</v>
      </c>
      <c r="O5" s="6">
        <f ca="1">M5</f>
        <v>12294.444444444438</v>
      </c>
      <c r="P5" s="6">
        <f t="shared" ref="P5:P36" ca="1" si="4">IF(F5=0,N5+O5,P4+(N5*Retirement_Investment_return)-K5)</f>
        <v>149294.44444444444</v>
      </c>
      <c r="Q5" s="20">
        <f ca="1">IF(P5&lt;=0,1,0)</f>
        <v>0</v>
      </c>
    </row>
    <row r="6" spans="1:17" x14ac:dyDescent="0.3">
      <c r="A6" s="39" t="s">
        <v>0</v>
      </c>
      <c r="B6" s="40">
        <f ca="1">_xll.PsiSenParam(85500,104500,95000)</f>
        <v>95000</v>
      </c>
      <c r="D6" s="19">
        <v>1</v>
      </c>
      <c r="E6" s="3">
        <f>E5+1</f>
        <v>47</v>
      </c>
      <c r="F6" s="3">
        <f t="shared" ref="F6:F65" si="5">IF($B$3&gt;=E6,0,1)</f>
        <v>0</v>
      </c>
      <c r="G6" s="4">
        <f ca="1">IF(F6=0,(G5+(G5*$B$12)),0)</f>
        <v>97375</v>
      </c>
      <c r="H6" s="4">
        <f t="shared" ref="H6:H65" ca="1" si="6">IF(F6=0,(G6+(G6*(2/9))),0)</f>
        <v>119013.88888888889</v>
      </c>
      <c r="I6" s="5">
        <f t="shared" ca="1" si="0"/>
        <v>39274.583333333336</v>
      </c>
      <c r="J6" s="5">
        <f t="shared" ca="1" si="1"/>
        <v>79739.305555555562</v>
      </c>
      <c r="K6" s="4">
        <f ca="1">IF(F6=0,((K5*Inflation_Rate)+K5),(Expense_After_retirement_percent*Last_Salary_before_Retirement)*(1+Inflation_Rate)^(D7-MATCH(1,$F$5:$F$36,0)))</f>
        <v>76500</v>
      </c>
      <c r="L6" s="4">
        <f t="shared" ca="1" si="2"/>
        <v>3239.305555555562</v>
      </c>
      <c r="M6" s="4">
        <f t="shared" ca="1" si="3"/>
        <v>12976.805555555562</v>
      </c>
      <c r="N6" s="6">
        <f t="shared" ref="N6:N37" ca="1" si="7">IF(F6=0,(N5+(N5*Current_Investment_return)),(N5-K6+((N5-K6)*Retirement_Investment_return)))</f>
        <v>149330</v>
      </c>
      <c r="O6" s="6">
        <f t="shared" ref="O6:O37" ca="1" si="8">O5+M6</f>
        <v>25271.25</v>
      </c>
      <c r="P6" s="6">
        <f t="shared" ca="1" si="4"/>
        <v>174601.25</v>
      </c>
      <c r="Q6" s="20">
        <f t="shared" ref="Q6:Q65" ca="1" si="9">IF(P6&lt;=0,1,0)</f>
        <v>0</v>
      </c>
    </row>
    <row r="7" spans="1:17" x14ac:dyDescent="0.3">
      <c r="A7" s="41" t="s">
        <v>1</v>
      </c>
      <c r="B7" s="42">
        <f ca="1">10/100*B6</f>
        <v>9500</v>
      </c>
      <c r="D7" s="19">
        <v>2</v>
      </c>
      <c r="E7" s="3">
        <f t="shared" ref="E7:E65" si="10">E6+1</f>
        <v>48</v>
      </c>
      <c r="F7" s="3">
        <f t="shared" si="5"/>
        <v>0</v>
      </c>
      <c r="G7" s="4">
        <f t="shared" ref="G7:G65" ca="1" si="11">IF(F7=0,(G6+(G6*$B$12)),0)</f>
        <v>99809.375</v>
      </c>
      <c r="H7" s="4">
        <f t="shared" ca="1" si="6"/>
        <v>121989.23611111111</v>
      </c>
      <c r="I7" s="5">
        <f t="shared" ca="1" si="0"/>
        <v>40256.447916666672</v>
      </c>
      <c r="J7" s="5">
        <f t="shared" ca="1" si="1"/>
        <v>81732.788194444438</v>
      </c>
      <c r="K7" s="4">
        <f ca="1">IF(F7=0,((K6*Inflation_Rate)+K6),(Expense_After_retirement_percent*Last_Salary_before_Retirement)*(1+Inflation_Rate)^(D8-MATCH(1,$F$5:$F$36,0)))</f>
        <v>78030</v>
      </c>
      <c r="L7" s="4">
        <f t="shared" ca="1" si="2"/>
        <v>3702.788194444438</v>
      </c>
      <c r="M7" s="4">
        <f t="shared" ca="1" si="3"/>
        <v>13683.725694444438</v>
      </c>
      <c r="N7" s="6">
        <f t="shared" ca="1" si="7"/>
        <v>162769.70000000001</v>
      </c>
      <c r="O7" s="6">
        <f t="shared" ca="1" si="8"/>
        <v>38954.975694444438</v>
      </c>
      <c r="P7" s="6">
        <f t="shared" ca="1" si="4"/>
        <v>201724.67569444445</v>
      </c>
      <c r="Q7" s="20">
        <f t="shared" ca="1" si="9"/>
        <v>0</v>
      </c>
    </row>
    <row r="8" spans="1:17" x14ac:dyDescent="0.3">
      <c r="A8" s="41" t="s">
        <v>28</v>
      </c>
      <c r="B8" s="42">
        <v>7500</v>
      </c>
      <c r="D8" s="19">
        <v>3</v>
      </c>
      <c r="E8" s="3">
        <f t="shared" si="10"/>
        <v>49</v>
      </c>
      <c r="F8" s="3">
        <f t="shared" si="5"/>
        <v>0</v>
      </c>
      <c r="G8" s="4">
        <f t="shared" ca="1" si="11"/>
        <v>102304.609375</v>
      </c>
      <c r="H8" s="4">
        <f t="shared" ca="1" si="6"/>
        <v>125038.96701388889</v>
      </c>
      <c r="I8" s="5">
        <f t="shared" ca="1" si="0"/>
        <v>41262.859114583334</v>
      </c>
      <c r="J8" s="5">
        <f t="shared" ca="1" si="1"/>
        <v>83776.107899305556</v>
      </c>
      <c r="K8" s="4">
        <f ca="1">IF(F8=0,((K7*Inflation_Rate)+K7),(Expense_After_retirement_percent*Last_Salary_before_Retirement)*(1+Inflation_Rate)^(D9-MATCH(1,$F$5:$F$36,0)))</f>
        <v>79590.600000000006</v>
      </c>
      <c r="L8" s="4">
        <f t="shared" ca="1" si="2"/>
        <v>4185.5078993055504</v>
      </c>
      <c r="M8" s="4">
        <f t="shared" ca="1" si="3"/>
        <v>14415.96883680555</v>
      </c>
      <c r="N8" s="6">
        <f t="shared" ca="1" si="7"/>
        <v>177418.973</v>
      </c>
      <c r="O8" s="6">
        <f t="shared" ca="1" si="8"/>
        <v>53370.944531249988</v>
      </c>
      <c r="P8" s="6">
        <f t="shared" ca="1" si="4"/>
        <v>230789.91753124999</v>
      </c>
      <c r="Q8" s="20">
        <f t="shared" ca="1" si="9"/>
        <v>0</v>
      </c>
    </row>
    <row r="9" spans="1:17" x14ac:dyDescent="0.3">
      <c r="A9" s="41" t="s">
        <v>4</v>
      </c>
      <c r="B9" s="42">
        <f ca="1">B7+B8</f>
        <v>17000</v>
      </c>
      <c r="D9" s="19">
        <v>4</v>
      </c>
      <c r="E9" s="3">
        <f t="shared" si="10"/>
        <v>50</v>
      </c>
      <c r="F9" s="3">
        <f t="shared" si="5"/>
        <v>0</v>
      </c>
      <c r="G9" s="4">
        <f t="shared" ca="1" si="11"/>
        <v>104862.224609375</v>
      </c>
      <c r="H9" s="4">
        <f t="shared" ca="1" si="6"/>
        <v>128164.94118923611</v>
      </c>
      <c r="I9" s="5">
        <f t="shared" ca="1" si="0"/>
        <v>42294.430592447919</v>
      </c>
      <c r="J9" s="5">
        <f t="shared" ca="1" si="1"/>
        <v>85870.510596788197</v>
      </c>
      <c r="K9" s="4">
        <f ca="1">IF(F9=0,((K8*Inflation_Rate)+K8),(Expense_After_retirement_percent*Last_Salary_before_Retirement)*(1+Inflation_Rate)^(D10-MATCH(1,$F$5:$F$36,0)))</f>
        <v>81182.412000000011</v>
      </c>
      <c r="L9" s="4">
        <f t="shared" ca="1" si="2"/>
        <v>4688.0985967881861</v>
      </c>
      <c r="M9" s="4">
        <f t="shared" ca="1" si="3"/>
        <v>15174.321057725687</v>
      </c>
      <c r="N9" s="6">
        <f t="shared" ca="1" si="7"/>
        <v>193386.68057</v>
      </c>
      <c r="O9" s="6">
        <f t="shared" ca="1" si="8"/>
        <v>68545.265588975672</v>
      </c>
      <c r="P9" s="6">
        <f t="shared" ca="1" si="4"/>
        <v>261931.94615897565</v>
      </c>
      <c r="Q9" s="20">
        <f t="shared" ca="1" si="9"/>
        <v>0</v>
      </c>
    </row>
    <row r="10" spans="1:17" ht="14.75" thickBot="1" x14ac:dyDescent="0.35">
      <c r="A10" s="44" t="s">
        <v>5</v>
      </c>
      <c r="B10" s="45">
        <f ca="1">B6-B8</f>
        <v>87500</v>
      </c>
      <c r="C10" s="1"/>
      <c r="D10" s="19">
        <v>5</v>
      </c>
      <c r="E10" s="3">
        <f t="shared" si="10"/>
        <v>51</v>
      </c>
      <c r="F10" s="3">
        <f t="shared" si="5"/>
        <v>0</v>
      </c>
      <c r="G10" s="4">
        <f t="shared" ca="1" si="11"/>
        <v>107483.78022460938</v>
      </c>
      <c r="H10" s="4">
        <f t="shared" ca="1" si="6"/>
        <v>131369.06471896701</v>
      </c>
      <c r="I10" s="5">
        <f t="shared" ca="1" si="0"/>
        <v>43351.791357259113</v>
      </c>
      <c r="J10" s="5">
        <f t="shared" ca="1" si="1"/>
        <v>88017.273361707892</v>
      </c>
      <c r="K10" s="4">
        <f ca="1">IF(F10=0,((K9*Inflation_Rate)+K9),(Expense_After_retirement_percent*Last_Salary_before_Retirement)*(1+Inflation_Rate)^(D11-MATCH(1,$F$5:$F$36,0)))</f>
        <v>82806.060240000006</v>
      </c>
      <c r="L10" s="4">
        <f t="shared" ca="1" si="2"/>
        <v>5211.2131217078859</v>
      </c>
      <c r="M10" s="4">
        <f t="shared" ca="1" si="3"/>
        <v>15959.591144168824</v>
      </c>
      <c r="N10" s="6">
        <f t="shared" ca="1" si="7"/>
        <v>210791.4818213</v>
      </c>
      <c r="O10" s="6">
        <f t="shared" ca="1" si="8"/>
        <v>84504.856733144494</v>
      </c>
      <c r="P10" s="6">
        <f t="shared" ca="1" si="4"/>
        <v>295296.33855444449</v>
      </c>
      <c r="Q10" s="20">
        <f t="shared" ca="1" si="9"/>
        <v>0</v>
      </c>
    </row>
    <row r="11" spans="1:17" x14ac:dyDescent="0.3">
      <c r="A11" s="37" t="s">
        <v>7</v>
      </c>
      <c r="B11" s="38"/>
      <c r="D11" s="19">
        <v>6</v>
      </c>
      <c r="E11" s="3">
        <f t="shared" si="10"/>
        <v>52</v>
      </c>
      <c r="F11" s="3">
        <f t="shared" si="5"/>
        <v>0</v>
      </c>
      <c r="G11" s="4">
        <f t="shared" ca="1" si="11"/>
        <v>110170.87473022462</v>
      </c>
      <c r="H11" s="4">
        <f t="shared" ca="1" si="6"/>
        <v>134653.29133694121</v>
      </c>
      <c r="I11" s="5">
        <f t="shared" ca="1" si="0"/>
        <v>44435.586141190601</v>
      </c>
      <c r="J11" s="5">
        <f t="shared" ca="1" si="1"/>
        <v>90217.705195750605</v>
      </c>
      <c r="K11" s="4">
        <f ca="1">IF(F11=0,((K10*Inflation_Rate)+K10),(Expense_After_retirement_percent*Last_Salary_before_Retirement)*(1+Inflation_Rate)^(D12-MATCH(1,$F$5:$F$36,0)))</f>
        <v>84462.181444800008</v>
      </c>
      <c r="L11" s="4">
        <f t="shared" ca="1" si="2"/>
        <v>5755.5237509505969</v>
      </c>
      <c r="M11" s="4">
        <f t="shared" ca="1" si="3"/>
        <v>16772.611223973057</v>
      </c>
      <c r="N11" s="6">
        <f t="shared" ca="1" si="7"/>
        <v>229762.71518521701</v>
      </c>
      <c r="O11" s="6">
        <f t="shared" ca="1" si="8"/>
        <v>101277.46795711755</v>
      </c>
      <c r="P11" s="6">
        <f t="shared" ca="1" si="4"/>
        <v>331040.18314233457</v>
      </c>
      <c r="Q11" s="20">
        <f t="shared" ca="1" si="9"/>
        <v>0</v>
      </c>
    </row>
    <row r="12" spans="1:17" x14ac:dyDescent="0.3">
      <c r="A12" s="41" t="s">
        <v>2</v>
      </c>
      <c r="B12" s="46">
        <f ca="1">_xll.PsiSenParam(123300,150700,0.025)</f>
        <v>2.5000000000000001E-2</v>
      </c>
      <c r="D12" s="19">
        <v>7</v>
      </c>
      <c r="E12" s="3">
        <f t="shared" si="10"/>
        <v>53</v>
      </c>
      <c r="F12" s="3">
        <f t="shared" si="5"/>
        <v>0</v>
      </c>
      <c r="G12" s="4">
        <f t="shared" ca="1" si="11"/>
        <v>112925.14659848023</v>
      </c>
      <c r="H12" s="4">
        <f t="shared" ca="1" si="6"/>
        <v>138019.62362036473</v>
      </c>
      <c r="I12" s="5">
        <f t="shared" ca="1" si="0"/>
        <v>45546.475794720362</v>
      </c>
      <c r="J12" s="5">
        <f t="shared" ca="1" si="1"/>
        <v>92473.147825644366</v>
      </c>
      <c r="K12" s="4">
        <f ca="1">IF(F12=0,((K11*Inflation_Rate)+K11),(Expense_After_retirement_percent*Last_Salary_before_Retirement)*(1+Inflation_Rate)^(D13-MATCH(1,$F$5:$F$36,0)))</f>
        <v>86151.425073696009</v>
      </c>
      <c r="L12" s="4">
        <f t="shared" ca="1" si="2"/>
        <v>6321.7227519483567</v>
      </c>
      <c r="M12" s="4">
        <f t="shared" ca="1" si="3"/>
        <v>17614.237411796381</v>
      </c>
      <c r="N12" s="6">
        <f t="shared" ca="1" si="7"/>
        <v>250441.35955188653</v>
      </c>
      <c r="O12" s="6">
        <f t="shared" ca="1" si="8"/>
        <v>118891.70536891393</v>
      </c>
      <c r="P12" s="6">
        <f t="shared" ca="1" si="4"/>
        <v>369333.06492080045</v>
      </c>
      <c r="Q12" s="20">
        <f t="shared" ca="1" si="9"/>
        <v>0</v>
      </c>
    </row>
    <row r="13" spans="1:17" x14ac:dyDescent="0.3">
      <c r="A13" s="41" t="s">
        <v>26</v>
      </c>
      <c r="B13" s="47">
        <f ca="1">_xll.PsiSenParam(0.297,0.363,0.33)</f>
        <v>0.33</v>
      </c>
      <c r="D13" s="19">
        <v>8</v>
      </c>
      <c r="E13" s="3">
        <f t="shared" si="10"/>
        <v>54</v>
      </c>
      <c r="F13" s="3">
        <f t="shared" si="5"/>
        <v>0</v>
      </c>
      <c r="G13" s="4">
        <f t="shared" ca="1" si="11"/>
        <v>115748.27526344224</v>
      </c>
      <c r="H13" s="4">
        <f t="shared" ca="1" si="6"/>
        <v>141470.11421087384</v>
      </c>
      <c r="I13" s="5">
        <f t="shared" ca="1" si="0"/>
        <v>46685.137689588373</v>
      </c>
      <c r="J13" s="5">
        <f t="shared" ca="1" si="1"/>
        <v>94784.976521285469</v>
      </c>
      <c r="K13" s="4">
        <f ca="1">IF(F13=0,((K12*Inflation_Rate)+K12),(Expense_After_retirement_percent*Last_Salary_before_Retirement)*(1+Inflation_Rate)^(D14-MATCH(1,$F$5:$F$36,0)))</f>
        <v>87874.45357516993</v>
      </c>
      <c r="L13" s="4">
        <f t="shared" ca="1" si="2"/>
        <v>6910.5229461155395</v>
      </c>
      <c r="M13" s="4">
        <f t="shared" ca="1" si="3"/>
        <v>18485.350472459766</v>
      </c>
      <c r="N13" s="6">
        <f t="shared" ca="1" si="7"/>
        <v>272981.08191155631</v>
      </c>
      <c r="O13" s="6">
        <f t="shared" ca="1" si="8"/>
        <v>137377.05584137369</v>
      </c>
      <c r="P13" s="6">
        <f t="shared" ca="1" si="4"/>
        <v>410358.13775292999</v>
      </c>
      <c r="Q13" s="20">
        <f t="shared" ca="1" si="9"/>
        <v>0</v>
      </c>
    </row>
    <row r="14" spans="1:17" x14ac:dyDescent="0.3">
      <c r="A14" s="41" t="s">
        <v>25</v>
      </c>
      <c r="B14" s="47">
        <v>0.3</v>
      </c>
      <c r="D14" s="19">
        <v>9</v>
      </c>
      <c r="E14" s="3">
        <f t="shared" si="10"/>
        <v>55</v>
      </c>
      <c r="F14" s="3">
        <f t="shared" si="5"/>
        <v>0</v>
      </c>
      <c r="G14" s="4">
        <f t="shared" ca="1" si="11"/>
        <v>118641.98214502829</v>
      </c>
      <c r="H14" s="4">
        <f t="shared" ca="1" si="6"/>
        <v>145006.8670661457</v>
      </c>
      <c r="I14" s="5">
        <f t="shared" ca="1" si="0"/>
        <v>47852.266131828081</v>
      </c>
      <c r="J14" s="5">
        <f t="shared" ca="1" si="1"/>
        <v>97154.600934317627</v>
      </c>
      <c r="K14" s="4">
        <f ca="1">IF(F14=0,((K13*Inflation_Rate)+K13),(Expense_After_retirement_percent*Last_Salary_before_Retirement)*(1+Inflation_Rate)^(D15-MATCH(1,$F$5:$F$36,0)))</f>
        <v>89631.942646673328</v>
      </c>
      <c r="L14" s="4">
        <f t="shared" ca="1" si="2"/>
        <v>7500</v>
      </c>
      <c r="M14" s="4">
        <f t="shared" ca="1" si="3"/>
        <v>19364.198214502831</v>
      </c>
      <c r="N14" s="6">
        <f t="shared" ca="1" si="7"/>
        <v>297549.37928359635</v>
      </c>
      <c r="O14" s="6">
        <f t="shared" ca="1" si="8"/>
        <v>156741.25405587652</v>
      </c>
      <c r="P14" s="6">
        <f t="shared" ca="1" si="4"/>
        <v>454290.63333947287</v>
      </c>
      <c r="Q14" s="20">
        <f t="shared" ca="1" si="9"/>
        <v>0</v>
      </c>
    </row>
    <row r="15" spans="1:17" ht="14.75" thickBot="1" x14ac:dyDescent="0.35">
      <c r="A15" s="44" t="s">
        <v>3</v>
      </c>
      <c r="B15" s="48">
        <f ca="1">_xll.PsiSenParam(0.27,0.33,0.02)</f>
        <v>0.02</v>
      </c>
      <c r="D15" s="19">
        <v>10</v>
      </c>
      <c r="E15" s="3">
        <f t="shared" si="10"/>
        <v>56</v>
      </c>
      <c r="F15" s="3">
        <f t="shared" si="5"/>
        <v>0</v>
      </c>
      <c r="G15" s="4">
        <f t="shared" ca="1" si="11"/>
        <v>121608.031698654</v>
      </c>
      <c r="H15" s="4">
        <f t="shared" ca="1" si="6"/>
        <v>148632.03874279934</v>
      </c>
      <c r="I15" s="5">
        <f t="shared" ca="1" si="0"/>
        <v>49048.572785123783</v>
      </c>
      <c r="J15" s="5">
        <f t="shared" ca="1" si="1"/>
        <v>99583.465957675566</v>
      </c>
      <c r="K15" s="4">
        <f ca="1">IF(F15=0,((K14*Inflation_Rate)+K14),(Expense_After_retirement_percent*Last_Salary_before_Retirement)*(1+Inflation_Rate)^(D16-MATCH(1,$F$5:$F$36,0)))</f>
        <v>91424.581499606793</v>
      </c>
      <c r="L15" s="4">
        <f t="shared" ca="1" si="2"/>
        <v>7500</v>
      </c>
      <c r="M15" s="4">
        <f t="shared" ca="1" si="3"/>
        <v>19660.803169865401</v>
      </c>
      <c r="N15" s="6">
        <f t="shared" ca="1" si="7"/>
        <v>324328.82341912005</v>
      </c>
      <c r="O15" s="6">
        <f t="shared" ca="1" si="8"/>
        <v>176402.05722574191</v>
      </c>
      <c r="P15" s="6">
        <f t="shared" ca="1" si="4"/>
        <v>500730.88064486196</v>
      </c>
      <c r="Q15" s="20">
        <f t="shared" ca="1" si="9"/>
        <v>0</v>
      </c>
    </row>
    <row r="16" spans="1:17" x14ac:dyDescent="0.3">
      <c r="A16" s="37" t="s">
        <v>8</v>
      </c>
      <c r="B16" s="38"/>
      <c r="D16" s="19">
        <v>11</v>
      </c>
      <c r="E16" s="3">
        <f t="shared" si="10"/>
        <v>57</v>
      </c>
      <c r="F16" s="3">
        <f t="shared" si="5"/>
        <v>0</v>
      </c>
      <c r="G16" s="4">
        <f t="shared" ca="1" si="11"/>
        <v>124648.23249112035</v>
      </c>
      <c r="H16" s="4">
        <f t="shared" ca="1" si="6"/>
        <v>152347.83971136931</v>
      </c>
      <c r="I16" s="5">
        <f t="shared" ca="1" si="0"/>
        <v>50274.787104751871</v>
      </c>
      <c r="J16" s="5">
        <f t="shared" ca="1" si="1"/>
        <v>102073.05260661744</v>
      </c>
      <c r="K16" s="4">
        <f ca="1">IF(F16=0,((K15*Inflation_Rate)+K15),(Expense_After_retirement_percent*Last_Salary_before_Retirement)*(1+Inflation_Rate)^(D17-MATCH(1,$F$5:$F$36,0)))</f>
        <v>93253.073129598924</v>
      </c>
      <c r="L16" s="4">
        <f t="shared" ca="1" si="2"/>
        <v>7500</v>
      </c>
      <c r="M16" s="4">
        <f t="shared" ca="1" si="3"/>
        <v>19964.823249112036</v>
      </c>
      <c r="N16" s="6">
        <f t="shared" ca="1" si="7"/>
        <v>353518.41752684087</v>
      </c>
      <c r="O16" s="6">
        <f t="shared" ca="1" si="8"/>
        <v>196366.88047485394</v>
      </c>
      <c r="P16" s="6">
        <f t="shared" ca="1" si="4"/>
        <v>549885.29800169484</v>
      </c>
      <c r="Q16" s="20">
        <f t="shared" ca="1" si="9"/>
        <v>0</v>
      </c>
    </row>
    <row r="17" spans="1:17" x14ac:dyDescent="0.3">
      <c r="A17" s="41" t="s">
        <v>27</v>
      </c>
      <c r="B17" s="49">
        <f ca="1">_xll.PsiSenParam(67500,82500,75000)</f>
        <v>75000</v>
      </c>
      <c r="D17" s="19">
        <v>12</v>
      </c>
      <c r="E17" s="3">
        <f t="shared" si="10"/>
        <v>58</v>
      </c>
      <c r="F17" s="3">
        <f t="shared" si="5"/>
        <v>0</v>
      </c>
      <c r="G17" s="4">
        <f t="shared" ca="1" si="11"/>
        <v>127764.43830339836</v>
      </c>
      <c r="H17" s="4">
        <f t="shared" ca="1" si="6"/>
        <v>156156.53570415356</v>
      </c>
      <c r="I17" s="5">
        <f t="shared" ca="1" si="0"/>
        <v>51531.656782370679</v>
      </c>
      <c r="J17" s="5">
        <f t="shared" ca="1" si="1"/>
        <v>104624.87892178289</v>
      </c>
      <c r="K17" s="4">
        <f ca="1">IF(F17=0,((K16*Inflation_Rate)+K16),(Expense_After_retirement_percent*Last_Salary_before_Retirement)*(1+Inflation_Rate)^(D18-MATCH(1,$F$5:$F$36,0)))</f>
        <v>95118.134592190909</v>
      </c>
      <c r="L17" s="4">
        <f t="shared" ca="1" si="2"/>
        <v>7500</v>
      </c>
      <c r="M17" s="4">
        <f t="shared" ca="1" si="3"/>
        <v>20276.443830339835</v>
      </c>
      <c r="N17" s="6">
        <f t="shared" ca="1" si="7"/>
        <v>385335.07510425657</v>
      </c>
      <c r="O17" s="6">
        <f t="shared" ca="1" si="8"/>
        <v>216643.32430519379</v>
      </c>
      <c r="P17" s="6">
        <f t="shared" ca="1" si="4"/>
        <v>601978.39940945036</v>
      </c>
      <c r="Q17" s="20">
        <f t="shared" ca="1" si="9"/>
        <v>0</v>
      </c>
    </row>
    <row r="18" spans="1:17" ht="14.75" thickBot="1" x14ac:dyDescent="0.35">
      <c r="A18" s="44" t="s">
        <v>10</v>
      </c>
      <c r="B18" s="48">
        <v>0.5</v>
      </c>
      <c r="D18" s="19">
        <v>13</v>
      </c>
      <c r="E18" s="3">
        <f t="shared" si="10"/>
        <v>59</v>
      </c>
      <c r="F18" s="3">
        <f t="shared" si="5"/>
        <v>0</v>
      </c>
      <c r="G18" s="4">
        <f t="shared" ca="1" si="11"/>
        <v>130958.54926098332</v>
      </c>
      <c r="H18" s="4">
        <f t="shared" ca="1" si="6"/>
        <v>160060.44909675739</v>
      </c>
      <c r="I18" s="5">
        <f t="shared" ca="1" si="0"/>
        <v>52819.948201929939</v>
      </c>
      <c r="J18" s="5">
        <f t="shared" ca="1" si="1"/>
        <v>107240.50089482745</v>
      </c>
      <c r="K18" s="4">
        <f ca="1">IF(F18=0,((K17*Inflation_Rate)+K17),(Expense_After_retirement_percent*Last_Salary_before_Retirement)*(1+Inflation_Rate)^(D19-MATCH(1,$F$5:$F$36,0)))</f>
        <v>97020.497284034733</v>
      </c>
      <c r="L18" s="4">
        <f t="shared" ca="1" si="2"/>
        <v>7500</v>
      </c>
      <c r="M18" s="4">
        <f t="shared" ca="1" si="3"/>
        <v>20595.854926098335</v>
      </c>
      <c r="N18" s="6">
        <f t="shared" ca="1" si="7"/>
        <v>420015.23186363967</v>
      </c>
      <c r="O18" s="6">
        <f t="shared" ca="1" si="8"/>
        <v>237239.17923129213</v>
      </c>
      <c r="P18" s="6">
        <f t="shared" ca="1" si="4"/>
        <v>657254.41109493177</v>
      </c>
      <c r="Q18" s="20">
        <f t="shared" ca="1" si="9"/>
        <v>0</v>
      </c>
    </row>
    <row r="19" spans="1:17" x14ac:dyDescent="0.3">
      <c r="A19" s="37" t="s">
        <v>9</v>
      </c>
      <c r="B19" s="38"/>
      <c r="D19" s="19">
        <v>14</v>
      </c>
      <c r="E19" s="3">
        <f t="shared" si="10"/>
        <v>60</v>
      </c>
      <c r="F19" s="3">
        <f t="shared" si="5"/>
        <v>0</v>
      </c>
      <c r="G19" s="4">
        <f t="shared" ca="1" si="11"/>
        <v>134232.51299250789</v>
      </c>
      <c r="H19" s="4">
        <f t="shared" ca="1" si="6"/>
        <v>164061.96032417633</v>
      </c>
      <c r="I19" s="5">
        <f t="shared" ca="1" si="0"/>
        <v>54140.446906978192</v>
      </c>
      <c r="J19" s="5">
        <f t="shared" ca="1" si="1"/>
        <v>109921.51341719813</v>
      </c>
      <c r="K19" s="4">
        <f ca="1">IF(F19=0,((K18*Inflation_Rate)+K18),(Expense_After_retirement_percent*Last_Salary_before_Retirement)*(1+Inflation_Rate)^(D20-MATCH(1,$F$5:$F$36,0)))</f>
        <v>98960.907229715434</v>
      </c>
      <c r="L19" s="4">
        <f t="shared" ca="1" si="2"/>
        <v>7500</v>
      </c>
      <c r="M19" s="4">
        <f t="shared" ca="1" si="3"/>
        <v>20923.251299250791</v>
      </c>
      <c r="N19" s="6">
        <f t="shared" ca="1" si="7"/>
        <v>457816.60273136722</v>
      </c>
      <c r="O19" s="6">
        <f t="shared" ca="1" si="8"/>
        <v>258162.43053054292</v>
      </c>
      <c r="P19" s="6">
        <f t="shared" ca="1" si="4"/>
        <v>715979.03326191008</v>
      </c>
      <c r="Q19" s="20">
        <f t="shared" ca="1" si="9"/>
        <v>0</v>
      </c>
    </row>
    <row r="20" spans="1:17" x14ac:dyDescent="0.3">
      <c r="A20" s="50" t="s">
        <v>11</v>
      </c>
      <c r="B20" s="49">
        <f ca="1">_xll.PsiSenParam(0.081,0.099,137000)</f>
        <v>137000</v>
      </c>
      <c r="D20" s="19">
        <v>15</v>
      </c>
      <c r="E20" s="3">
        <f t="shared" si="10"/>
        <v>61</v>
      </c>
      <c r="F20" s="3">
        <f t="shared" si="5"/>
        <v>0</v>
      </c>
      <c r="G20" s="4">
        <f t="shared" ca="1" si="11"/>
        <v>137588.32581732058</v>
      </c>
      <c r="H20" s="4">
        <f t="shared" ca="1" si="6"/>
        <v>168163.50933228072</v>
      </c>
      <c r="I20" s="5">
        <f t="shared" ca="1" si="0"/>
        <v>55493.958079652642</v>
      </c>
      <c r="J20" s="5">
        <f t="shared" ca="1" si="1"/>
        <v>112669.55125262808</v>
      </c>
      <c r="K20" s="4">
        <f ca="1">IF(F20=0,((K19*Inflation_Rate)+K19),(Expense_After_retirement_percent*Last_Salary_before_Retirement)*(1+Inflation_Rate)^(D21-MATCH(1,$F$5:$F$36,0)))</f>
        <v>100940.12537430975</v>
      </c>
      <c r="L20" s="4">
        <f t="shared" ca="1" si="2"/>
        <v>7500</v>
      </c>
      <c r="M20" s="4">
        <f t="shared" ca="1" si="3"/>
        <v>21258.832581732058</v>
      </c>
      <c r="N20" s="6">
        <f t="shared" ca="1" si="7"/>
        <v>499020.09697719029</v>
      </c>
      <c r="O20" s="6">
        <f t="shared" ca="1" si="8"/>
        <v>279421.26311227499</v>
      </c>
      <c r="P20" s="6">
        <f t="shared" ca="1" si="4"/>
        <v>778441.36008946528</v>
      </c>
      <c r="Q20" s="20">
        <f t="shared" ca="1" si="9"/>
        <v>0</v>
      </c>
    </row>
    <row r="21" spans="1:17" x14ac:dyDescent="0.3">
      <c r="A21" s="51" t="s">
        <v>12</v>
      </c>
      <c r="B21" s="52">
        <f ca="1">20/100*B20</f>
        <v>27400</v>
      </c>
      <c r="D21" s="19">
        <v>16</v>
      </c>
      <c r="E21" s="3">
        <f t="shared" si="10"/>
        <v>62</v>
      </c>
      <c r="F21" s="3">
        <f t="shared" si="5"/>
        <v>0</v>
      </c>
      <c r="G21" s="4">
        <f t="shared" ca="1" si="11"/>
        <v>141028.0339627536</v>
      </c>
      <c r="H21" s="4">
        <f t="shared" ca="1" si="6"/>
        <v>172367.59706558773</v>
      </c>
      <c r="I21" s="5">
        <f t="shared" ca="1" si="0"/>
        <v>56881.307031643955</v>
      </c>
      <c r="J21" s="5">
        <f t="shared" ca="1" si="1"/>
        <v>115486.29003394378</v>
      </c>
      <c r="K21" s="4">
        <f ca="1">IF(F21=0,((K20*Inflation_Rate)+K20),(Expense_After_retirement_percent*Last_Salary_before_Retirement)*(1+Inflation_Rate)^(D22-MATCH(1,$F$5:$F$36,0)))</f>
        <v>102958.92788179594</v>
      </c>
      <c r="L21" s="4">
        <f t="shared" ca="1" si="2"/>
        <v>7500</v>
      </c>
      <c r="M21" s="4">
        <f t="shared" ca="1" si="3"/>
        <v>21602.803396275362</v>
      </c>
      <c r="N21" s="6">
        <f t="shared" ca="1" si="7"/>
        <v>543931.90570513741</v>
      </c>
      <c r="O21" s="6">
        <f t="shared" ca="1" si="8"/>
        <v>301024.06650855037</v>
      </c>
      <c r="P21" s="6">
        <f t="shared" ca="1" si="4"/>
        <v>844955.97221368784</v>
      </c>
      <c r="Q21" s="20">
        <f t="shared" ca="1" si="9"/>
        <v>0</v>
      </c>
    </row>
    <row r="22" spans="1:17" x14ac:dyDescent="0.3">
      <c r="A22" s="51" t="s">
        <v>13</v>
      </c>
      <c r="B22" s="52">
        <f ca="1">80/100*B20</f>
        <v>109600</v>
      </c>
      <c r="D22" s="19">
        <v>17</v>
      </c>
      <c r="E22" s="3">
        <f t="shared" si="10"/>
        <v>63</v>
      </c>
      <c r="F22" s="3">
        <f t="shared" si="5"/>
        <v>0</v>
      </c>
      <c r="G22" s="4">
        <f t="shared" ca="1" si="11"/>
        <v>144553.73481182245</v>
      </c>
      <c r="H22" s="4">
        <f t="shared" ca="1" si="6"/>
        <v>176676.78699222743</v>
      </c>
      <c r="I22" s="5">
        <f t="shared" ca="1" si="0"/>
        <v>58303.339707435051</v>
      </c>
      <c r="J22" s="5">
        <f t="shared" ca="1" si="1"/>
        <v>118373.44728479238</v>
      </c>
      <c r="K22" s="4">
        <f ca="1">IF(F22=0,((K21*Inflation_Rate)+K21),(Expense_After_retirement_percent*Last_Salary_before_Retirement)*(1+Inflation_Rate)^(D23-MATCH(1,$F$5:$F$36,0)))</f>
        <v>105018.10643943187</v>
      </c>
      <c r="L22" s="4">
        <f t="shared" ca="1" si="2"/>
        <v>7500</v>
      </c>
      <c r="M22" s="4">
        <f t="shared" ca="1" si="3"/>
        <v>21955.373481182243</v>
      </c>
      <c r="N22" s="6">
        <f t="shared" ca="1" si="7"/>
        <v>592885.7772185998</v>
      </c>
      <c r="O22" s="6">
        <f t="shared" ca="1" si="8"/>
        <v>322979.43998973264</v>
      </c>
      <c r="P22" s="6">
        <f t="shared" ca="1" si="4"/>
        <v>915865.21720833238</v>
      </c>
      <c r="Q22" s="20">
        <f t="shared" ca="1" si="9"/>
        <v>0</v>
      </c>
    </row>
    <row r="23" spans="1:17" x14ac:dyDescent="0.3">
      <c r="A23" s="53" t="s">
        <v>14</v>
      </c>
      <c r="B23" s="52">
        <f ca="1">40/100*B22</f>
        <v>43840</v>
      </c>
      <c r="D23" s="19">
        <v>18</v>
      </c>
      <c r="E23" s="3">
        <f t="shared" si="10"/>
        <v>64</v>
      </c>
      <c r="F23" s="3">
        <f t="shared" si="5"/>
        <v>0</v>
      </c>
      <c r="G23" s="4">
        <f t="shared" ca="1" si="11"/>
        <v>148167.57818211801</v>
      </c>
      <c r="H23" s="4">
        <f t="shared" ca="1" si="6"/>
        <v>181093.70666703314</v>
      </c>
      <c r="I23" s="5">
        <f t="shared" ca="1" si="0"/>
        <v>59760.923200120938</v>
      </c>
      <c r="J23" s="5">
        <f t="shared" ca="1" si="1"/>
        <v>121332.78346691219</v>
      </c>
      <c r="K23" s="4">
        <f ca="1">IF(F23=0,((K22*Inflation_Rate)+K22),(Expense_After_retirement_percent*Last_Salary_before_Retirement)*(1+Inflation_Rate)^(D24-MATCH(1,$F$5:$F$36,0)))</f>
        <v>107118.4685682205</v>
      </c>
      <c r="L23" s="4">
        <f t="shared" ca="1" si="2"/>
        <v>7500</v>
      </c>
      <c r="M23" s="4">
        <f t="shared" ca="1" si="3"/>
        <v>22316.757818211801</v>
      </c>
      <c r="N23" s="6">
        <f t="shared" ca="1" si="7"/>
        <v>646245.49716827378</v>
      </c>
      <c r="O23" s="6">
        <f t="shared" ca="1" si="8"/>
        <v>345296.19780794444</v>
      </c>
      <c r="P23" s="6">
        <f t="shared" ca="1" si="4"/>
        <v>991541.69497621828</v>
      </c>
      <c r="Q23" s="20">
        <f t="shared" ca="1" si="9"/>
        <v>0</v>
      </c>
    </row>
    <row r="24" spans="1:17" x14ac:dyDescent="0.3">
      <c r="A24" s="53" t="s">
        <v>15</v>
      </c>
      <c r="B24" s="52">
        <f ca="1">60/100*B22</f>
        <v>65760</v>
      </c>
      <c r="D24" s="21">
        <v>19</v>
      </c>
      <c r="E24" s="7">
        <f t="shared" si="10"/>
        <v>65</v>
      </c>
      <c r="F24" s="7">
        <f t="shared" si="5"/>
        <v>0</v>
      </c>
      <c r="G24" s="8">
        <f t="shared" ca="1" si="11"/>
        <v>151871.76763667096</v>
      </c>
      <c r="H24" s="8">
        <f t="shared" ca="1" si="6"/>
        <v>185621.04933370894</v>
      </c>
      <c r="I24" s="9">
        <f t="shared" ca="1" si="0"/>
        <v>61254.946280123957</v>
      </c>
      <c r="J24" s="9">
        <f t="shared" ca="1" si="1"/>
        <v>124366.10305358499</v>
      </c>
      <c r="K24" s="8">
        <f ca="1">IF(F24=0,((K23*Inflation_Rate)+K23),(Expense_After_retirement_percent*Last_Salary_before_Retirement)*(1+Inflation_Rate)^(D25-MATCH(1,$F$5:$F$36,0)))</f>
        <v>109260.83793958492</v>
      </c>
      <c r="L24" s="8">
        <f t="shared" ca="1" si="2"/>
        <v>7500</v>
      </c>
      <c r="M24" s="8">
        <f t="shared" ca="1" si="3"/>
        <v>22687.176763667099</v>
      </c>
      <c r="N24" s="10">
        <f t="shared" ca="1" si="7"/>
        <v>704407.59191341838</v>
      </c>
      <c r="O24" s="10">
        <f t="shared" ca="1" si="8"/>
        <v>367983.37457161152</v>
      </c>
      <c r="P24" s="10">
        <f t="shared" ca="1" si="4"/>
        <v>1072390.96648503</v>
      </c>
      <c r="Q24" s="22">
        <f t="shared" ca="1" si="9"/>
        <v>0</v>
      </c>
    </row>
    <row r="25" spans="1:17" x14ac:dyDescent="0.3">
      <c r="A25" s="41" t="s">
        <v>16</v>
      </c>
      <c r="B25" s="54">
        <f ca="1">_xll.PsiSenParam(0.02,0.15,0.09)</f>
        <v>0.09</v>
      </c>
      <c r="D25" s="19">
        <v>20</v>
      </c>
      <c r="E25" s="3">
        <f t="shared" si="10"/>
        <v>66</v>
      </c>
      <c r="F25" s="3">
        <f t="shared" si="5"/>
        <v>1</v>
      </c>
      <c r="G25" s="4">
        <f t="shared" si="11"/>
        <v>0</v>
      </c>
      <c r="H25" s="4">
        <f t="shared" si="6"/>
        <v>0</v>
      </c>
      <c r="I25" s="5">
        <f t="shared" si="0"/>
        <v>0</v>
      </c>
      <c r="J25" s="5">
        <f t="shared" si="1"/>
        <v>0</v>
      </c>
      <c r="K25" s="4">
        <f ca="1">IF(F25=0,((K24*Inflation_Rate)+K24),(Expense_After_retirement_percent*Last_Salary_before_Retirement)*(1+Inflation_Rate)^(D26-MATCH(1,$F$5:$F$36,0)))</f>
        <v>75935.883818335482</v>
      </c>
      <c r="L25" s="4">
        <f t="shared" si="2"/>
        <v>0</v>
      </c>
      <c r="M25" s="4">
        <f t="shared" si="3"/>
        <v>0</v>
      </c>
      <c r="N25" s="6">
        <f t="shared" ca="1" si="7"/>
        <v>659895.29349983705</v>
      </c>
      <c r="O25" s="6">
        <f t="shared" ca="1" si="8"/>
        <v>367983.37457161152</v>
      </c>
      <c r="P25" s="6">
        <f t="shared" ca="1" si="4"/>
        <v>1029449.8473416864</v>
      </c>
      <c r="Q25" s="20">
        <f t="shared" ca="1" si="9"/>
        <v>0</v>
      </c>
    </row>
    <row r="26" spans="1:17" ht="14.75" thickBot="1" x14ac:dyDescent="0.35">
      <c r="A26" s="43" t="s">
        <v>17</v>
      </c>
      <c r="B26" s="55">
        <f ca="1">_xll.PsiSenParam(0.01,0.09,0.05)</f>
        <v>0.05</v>
      </c>
      <c r="D26" s="19">
        <v>21</v>
      </c>
      <c r="E26" s="3">
        <f t="shared" si="10"/>
        <v>67</v>
      </c>
      <c r="F26" s="3">
        <f t="shared" si="5"/>
        <v>1</v>
      </c>
      <c r="G26" s="4">
        <f t="shared" si="11"/>
        <v>0</v>
      </c>
      <c r="H26" s="4">
        <f t="shared" si="6"/>
        <v>0</v>
      </c>
      <c r="I26" s="5">
        <f t="shared" si="0"/>
        <v>0</v>
      </c>
      <c r="J26" s="5">
        <f t="shared" si="1"/>
        <v>0</v>
      </c>
      <c r="K26" s="4">
        <f ca="1">IF(F26=0,((K25*Inflation_Rate)+K25),(Expense_After_retirement_percent*Last_Salary_before_Retirement)*(1+Inflation_Rate)^(D27-MATCH(1,$F$5:$F$36,0)))</f>
        <v>77454.60149470219</v>
      </c>
      <c r="L26" s="4">
        <f t="shared" si="2"/>
        <v>0</v>
      </c>
      <c r="M26" s="4">
        <f t="shared" si="3"/>
        <v>0</v>
      </c>
      <c r="N26" s="6">
        <f t="shared" ca="1" si="7"/>
        <v>611562.7266053916</v>
      </c>
      <c r="O26" s="6">
        <f t="shared" ca="1" si="8"/>
        <v>367983.37457161152</v>
      </c>
      <c r="P26" s="6">
        <f t="shared" ca="1" si="4"/>
        <v>982573.38217725384</v>
      </c>
      <c r="Q26" s="20">
        <f t="shared" ca="1" si="9"/>
        <v>0</v>
      </c>
    </row>
    <row r="27" spans="1:17" ht="14.75" thickBot="1" x14ac:dyDescent="0.35">
      <c r="D27" s="19">
        <v>22</v>
      </c>
      <c r="E27" s="3">
        <f t="shared" si="10"/>
        <v>68</v>
      </c>
      <c r="F27" s="3">
        <f t="shared" si="5"/>
        <v>1</v>
      </c>
      <c r="G27" s="4">
        <f t="shared" si="11"/>
        <v>0</v>
      </c>
      <c r="H27" s="4">
        <f t="shared" si="6"/>
        <v>0</v>
      </c>
      <c r="I27" s="5">
        <f t="shared" si="0"/>
        <v>0</v>
      </c>
      <c r="J27" s="5">
        <f t="shared" si="1"/>
        <v>0</v>
      </c>
      <c r="K27" s="4">
        <f ca="1">IF(F27=0,((K26*Inflation_Rate)+K26),(Expense_After_retirement_percent*Last_Salary_before_Retirement)*(1+Inflation_Rate)^(D28-MATCH(1,$F$5:$F$36,0)))</f>
        <v>79003.693524596238</v>
      </c>
      <c r="L27" s="4">
        <f t="shared" si="2"/>
        <v>0</v>
      </c>
      <c r="M27" s="4">
        <f t="shared" si="3"/>
        <v>0</v>
      </c>
      <c r="N27" s="6">
        <f t="shared" ca="1" si="7"/>
        <v>559186.9847348351</v>
      </c>
      <c r="O27" s="6">
        <f t="shared" ca="1" si="8"/>
        <v>367983.37457161152</v>
      </c>
      <c r="P27" s="6">
        <f t="shared" ca="1" si="4"/>
        <v>931529.03788939933</v>
      </c>
      <c r="Q27" s="20">
        <f t="shared" ca="1" si="9"/>
        <v>0</v>
      </c>
    </row>
    <row r="28" spans="1:17" x14ac:dyDescent="0.3">
      <c r="A28" s="56" t="s">
        <v>42</v>
      </c>
      <c r="B28" s="58">
        <f ca="1">MATCH(1,Q5:Q65,0)-1</f>
        <v>34</v>
      </c>
      <c r="D28" s="19">
        <v>23</v>
      </c>
      <c r="E28" s="3">
        <f t="shared" si="10"/>
        <v>69</v>
      </c>
      <c r="F28" s="3">
        <f t="shared" si="5"/>
        <v>1</v>
      </c>
      <c r="G28" s="4">
        <f t="shared" si="11"/>
        <v>0</v>
      </c>
      <c r="H28" s="4">
        <f t="shared" si="6"/>
        <v>0</v>
      </c>
      <c r="I28" s="5">
        <f t="shared" si="0"/>
        <v>0</v>
      </c>
      <c r="J28" s="5">
        <f t="shared" si="1"/>
        <v>0</v>
      </c>
      <c r="K28" s="4">
        <f ca="1">IF(F28=0,((K27*Inflation_Rate)+K27),(Expense_After_retirement_percent*Last_Salary_before_Retirement)*(1+Inflation_Rate)^(D29-MATCH(1,$F$5:$F$36,0)))</f>
        <v>80583.767395088158</v>
      </c>
      <c r="L28" s="4">
        <f t="shared" si="2"/>
        <v>0</v>
      </c>
      <c r="M28" s="4">
        <f t="shared" si="3"/>
        <v>0</v>
      </c>
      <c r="N28" s="6">
        <f t="shared" ca="1" si="7"/>
        <v>502533.37820673431</v>
      </c>
      <c r="O28" s="6">
        <f t="shared" ca="1" si="8"/>
        <v>367983.37457161152</v>
      </c>
      <c r="P28" s="6">
        <f t="shared" ca="1" si="4"/>
        <v>876071.9394046478</v>
      </c>
      <c r="Q28" s="20">
        <f t="shared" ca="1" si="9"/>
        <v>0</v>
      </c>
    </row>
    <row r="29" spans="1:17" ht="14.75" thickBot="1" x14ac:dyDescent="0.35">
      <c r="A29" s="57" t="s">
        <v>43</v>
      </c>
      <c r="B29" s="59">
        <f ca="1">B2+B28</f>
        <v>80</v>
      </c>
      <c r="D29" s="19">
        <v>24</v>
      </c>
      <c r="E29" s="3">
        <f t="shared" si="10"/>
        <v>70</v>
      </c>
      <c r="F29" s="3">
        <f t="shared" si="5"/>
        <v>1</v>
      </c>
      <c r="G29" s="4">
        <f t="shared" si="11"/>
        <v>0</v>
      </c>
      <c r="H29" s="4">
        <f t="shared" si="6"/>
        <v>0</v>
      </c>
      <c r="I29" s="5">
        <f t="shared" si="0"/>
        <v>0</v>
      </c>
      <c r="J29" s="5">
        <f t="shared" si="1"/>
        <v>0</v>
      </c>
      <c r="K29" s="4">
        <f ca="1">IF(F29=0,((K28*Inflation_Rate)+K28),(Expense_After_retirement_percent*Last_Salary_before_Retirement)*(1+Inflation_Rate)^(D30-MATCH(1,$F$5:$F$36,0)))</f>
        <v>82195.442742989922</v>
      </c>
      <c r="L29" s="4">
        <f t="shared" si="2"/>
        <v>0</v>
      </c>
      <c r="M29" s="4">
        <f t="shared" si="3"/>
        <v>0</v>
      </c>
      <c r="N29" s="6">
        <f t="shared" ca="1" si="7"/>
        <v>441354.8322369316</v>
      </c>
      <c r="O29" s="6">
        <f t="shared" ca="1" si="8"/>
        <v>367983.37457161152</v>
      </c>
      <c r="P29" s="6">
        <f t="shared" ca="1" si="4"/>
        <v>815944.23827350442</v>
      </c>
      <c r="Q29" s="20">
        <f t="shared" ca="1" si="9"/>
        <v>0</v>
      </c>
    </row>
    <row r="30" spans="1:17" ht="14.75" thickBot="1" x14ac:dyDescent="0.35">
      <c r="D30" s="19">
        <v>25</v>
      </c>
      <c r="E30" s="3">
        <f t="shared" si="10"/>
        <v>71</v>
      </c>
      <c r="F30" s="3">
        <f t="shared" si="5"/>
        <v>1</v>
      </c>
      <c r="G30" s="4">
        <f t="shared" si="11"/>
        <v>0</v>
      </c>
      <c r="H30" s="4">
        <f t="shared" si="6"/>
        <v>0</v>
      </c>
      <c r="I30" s="5">
        <f t="shared" si="0"/>
        <v>0</v>
      </c>
      <c r="J30" s="5">
        <f t="shared" si="1"/>
        <v>0</v>
      </c>
      <c r="K30" s="4">
        <f ca="1">IF(F30=0,((K29*Inflation_Rate)+K29),(Expense_After_retirement_percent*Last_Salary_before_Retirement)*(1+Inflation_Rate)^(D31-MATCH(1,$F$5:$F$36,0)))</f>
        <v>83839.351597849716</v>
      </c>
      <c r="L30" s="4">
        <f t="shared" si="2"/>
        <v>0</v>
      </c>
      <c r="M30" s="4">
        <f t="shared" si="3"/>
        <v>0</v>
      </c>
      <c r="N30" s="6">
        <f t="shared" ca="1" si="7"/>
        <v>375391.25467103603</v>
      </c>
      <c r="O30" s="6">
        <f t="shared" ca="1" si="8"/>
        <v>367983.37457161152</v>
      </c>
      <c r="P30" s="6">
        <f t="shared" ca="1" si="4"/>
        <v>750874.44940920651</v>
      </c>
      <c r="Q30" s="20">
        <f t="shared" ca="1" si="9"/>
        <v>0</v>
      </c>
    </row>
    <row r="31" spans="1:17" ht="14.75" thickBot="1" x14ac:dyDescent="0.35">
      <c r="A31" s="60" t="s">
        <v>20</v>
      </c>
      <c r="B31" s="61">
        <v>0.1</v>
      </c>
      <c r="D31" s="19">
        <v>26</v>
      </c>
      <c r="E31" s="3">
        <f t="shared" si="10"/>
        <v>72</v>
      </c>
      <c r="F31" s="3">
        <f t="shared" si="5"/>
        <v>1</v>
      </c>
      <c r="G31" s="4">
        <f t="shared" si="11"/>
        <v>0</v>
      </c>
      <c r="H31" s="4">
        <f t="shared" si="6"/>
        <v>0</v>
      </c>
      <c r="I31" s="5">
        <f t="shared" si="0"/>
        <v>0</v>
      </c>
      <c r="J31" s="5">
        <f t="shared" si="1"/>
        <v>0</v>
      </c>
      <c r="K31" s="4">
        <f ca="1">IF(F31=0,((K30*Inflation_Rate)+K30),(Expense_After_retirement_percent*Last_Salary_before_Retirement)*(1+Inflation_Rate)^(D32-MATCH(1,$F$5:$F$36,0)))</f>
        <v>85516.138629806723</v>
      </c>
      <c r="L31" s="4">
        <f t="shared" si="2"/>
        <v>0</v>
      </c>
      <c r="M31" s="4">
        <f t="shared" si="3"/>
        <v>0</v>
      </c>
      <c r="N31" s="6">
        <f t="shared" ca="1" si="7"/>
        <v>304368.87184329081</v>
      </c>
      <c r="O31" s="6">
        <f t="shared" ca="1" si="8"/>
        <v>367983.37457161152</v>
      </c>
      <c r="P31" s="6">
        <f t="shared" ca="1" si="4"/>
        <v>680576.75437156437</v>
      </c>
      <c r="Q31" s="20">
        <f t="shared" ca="1" si="9"/>
        <v>0</v>
      </c>
    </row>
    <row r="32" spans="1:17" ht="14.75" thickBot="1" x14ac:dyDescent="0.35">
      <c r="D32" s="19">
        <v>27</v>
      </c>
      <c r="E32" s="3">
        <f t="shared" si="10"/>
        <v>73</v>
      </c>
      <c r="F32" s="3">
        <f t="shared" si="5"/>
        <v>1</v>
      </c>
      <c r="G32" s="4">
        <f t="shared" si="11"/>
        <v>0</v>
      </c>
      <c r="H32" s="4">
        <f t="shared" si="6"/>
        <v>0</v>
      </c>
      <c r="I32" s="5">
        <f t="shared" si="0"/>
        <v>0</v>
      </c>
      <c r="J32" s="5">
        <f t="shared" si="1"/>
        <v>0</v>
      </c>
      <c r="K32" s="4">
        <f ca="1">IF(F32=0,((K31*Inflation_Rate)+K31),(Expense_After_retirement_percent*Last_Salary_before_Retirement)*(1+Inflation_Rate)^(D33-MATCH(1,$F$5:$F$36,0)))</f>
        <v>87226.461402402841</v>
      </c>
      <c r="L32" s="4">
        <f t="shared" si="2"/>
        <v>0</v>
      </c>
      <c r="M32" s="4">
        <f t="shared" si="3"/>
        <v>0</v>
      </c>
      <c r="N32" s="6">
        <f t="shared" ca="1" si="7"/>
        <v>227999.53096293236</v>
      </c>
      <c r="O32" s="6">
        <f t="shared" ca="1" si="8"/>
        <v>367983.37457161152</v>
      </c>
      <c r="P32" s="6">
        <f t="shared" ca="1" si="4"/>
        <v>604750.2695173081</v>
      </c>
      <c r="Q32" s="20">
        <f t="shared" ca="1" si="9"/>
        <v>0</v>
      </c>
    </row>
    <row r="33" spans="1:17" x14ac:dyDescent="0.3">
      <c r="A33" s="29" t="s">
        <v>29</v>
      </c>
      <c r="B33" s="62">
        <f ca="1">INDEX(G5:G36,(MATCH(1,F5:F36,0))-1,0)</f>
        <v>151871.76763667096</v>
      </c>
      <c r="D33" s="19">
        <v>28</v>
      </c>
      <c r="E33" s="3">
        <f t="shared" si="10"/>
        <v>74</v>
      </c>
      <c r="F33" s="3">
        <f t="shared" si="5"/>
        <v>1</v>
      </c>
      <c r="G33" s="4">
        <f t="shared" si="11"/>
        <v>0</v>
      </c>
      <c r="H33" s="4">
        <f t="shared" si="6"/>
        <v>0</v>
      </c>
      <c r="I33" s="5">
        <f t="shared" si="0"/>
        <v>0</v>
      </c>
      <c r="J33" s="5">
        <f t="shared" si="1"/>
        <v>0</v>
      </c>
      <c r="K33" s="4">
        <f ca="1">IF(F33=0,((K32*Inflation_Rate)+K32),(Expense_After_retirement_percent*Last_Salary_before_Retirement)*(1+Inflation_Rate)^(D34-MATCH(1,$F$5:$F$36,0)))</f>
        <v>88970.990630450906</v>
      </c>
      <c r="L33" s="4">
        <f t="shared" si="2"/>
        <v>0</v>
      </c>
      <c r="M33" s="4">
        <f t="shared" si="3"/>
        <v>0</v>
      </c>
      <c r="N33" s="6">
        <f t="shared" ca="1" si="7"/>
        <v>145979.96734910551</v>
      </c>
      <c r="O33" s="6">
        <f t="shared" ca="1" si="8"/>
        <v>367983.37457161152</v>
      </c>
      <c r="P33" s="6">
        <f t="shared" ca="1" si="4"/>
        <v>523078.27725431253</v>
      </c>
      <c r="Q33" s="20">
        <f t="shared" ca="1" si="9"/>
        <v>0</v>
      </c>
    </row>
    <row r="34" spans="1:17" ht="14.75" thickBot="1" x14ac:dyDescent="0.35">
      <c r="A34" s="33" t="s">
        <v>31</v>
      </c>
      <c r="B34" s="34">
        <f>MATCH(1,F5:F36,0)</f>
        <v>21</v>
      </c>
      <c r="D34" s="19">
        <v>29</v>
      </c>
      <c r="E34" s="3">
        <f t="shared" si="10"/>
        <v>75</v>
      </c>
      <c r="F34" s="3">
        <f t="shared" si="5"/>
        <v>1</v>
      </c>
      <c r="G34" s="4">
        <f t="shared" si="11"/>
        <v>0</v>
      </c>
      <c r="H34" s="4">
        <f t="shared" si="6"/>
        <v>0</v>
      </c>
      <c r="I34" s="5">
        <f t="shared" si="0"/>
        <v>0</v>
      </c>
      <c r="J34" s="5">
        <f t="shared" si="1"/>
        <v>0</v>
      </c>
      <c r="K34" s="4">
        <f ca="1">IF(F34=0,((K33*Inflation_Rate)+K33),(Expense_After_retirement_percent*Last_Salary_before_Retirement)*(1+Inflation_Rate)^(D35-MATCH(1,$F$5:$F$36,0)))</f>
        <v>90750.410443059925</v>
      </c>
      <c r="L34" s="4">
        <f t="shared" si="2"/>
        <v>0</v>
      </c>
      <c r="M34" s="4">
        <f t="shared" si="3"/>
        <v>0</v>
      </c>
      <c r="N34" s="6">
        <f t="shared" ca="1" si="7"/>
        <v>57991.03475134787</v>
      </c>
      <c r="O34" s="6">
        <f t="shared" ca="1" si="8"/>
        <v>367983.37457161152</v>
      </c>
      <c r="P34" s="6">
        <f t="shared" ca="1" si="4"/>
        <v>435227.41854882002</v>
      </c>
      <c r="Q34" s="20">
        <f t="shared" ca="1" si="9"/>
        <v>0</v>
      </c>
    </row>
    <row r="35" spans="1:17" ht="14.75" thickBot="1" x14ac:dyDescent="0.35">
      <c r="D35" s="19">
        <v>30</v>
      </c>
      <c r="E35" s="3">
        <f t="shared" si="10"/>
        <v>76</v>
      </c>
      <c r="F35" s="3">
        <f t="shared" si="5"/>
        <v>1</v>
      </c>
      <c r="G35" s="4">
        <f t="shared" si="11"/>
        <v>0</v>
      </c>
      <c r="H35" s="4">
        <f t="shared" si="6"/>
        <v>0</v>
      </c>
      <c r="I35" s="5">
        <f t="shared" si="0"/>
        <v>0</v>
      </c>
      <c r="J35" s="5">
        <f t="shared" si="1"/>
        <v>0</v>
      </c>
      <c r="K35" s="4">
        <f ca="1">IF(F35=0,((K34*Inflation_Rate)+K34),(Expense_After_retirement_percent*Last_Salary_before_Retirement)*(1+Inflation_Rate)^(D36-MATCH(1,$F$5:$F$36,0)))</f>
        <v>92565.418651921122</v>
      </c>
      <c r="L35" s="4">
        <f t="shared" si="2"/>
        <v>0</v>
      </c>
      <c r="M35" s="4">
        <f t="shared" si="3"/>
        <v>0</v>
      </c>
      <c r="N35" s="6">
        <f t="shared" ca="1" si="7"/>
        <v>-36303.103095601917</v>
      </c>
      <c r="O35" s="6">
        <f t="shared" ca="1" si="8"/>
        <v>367983.37457161152</v>
      </c>
      <c r="P35" s="6">
        <f t="shared" ca="1" si="4"/>
        <v>340846.84474211885</v>
      </c>
      <c r="Q35" s="20">
        <f t="shared" ca="1" si="9"/>
        <v>0</v>
      </c>
    </row>
    <row r="36" spans="1:17" x14ac:dyDescent="0.3">
      <c r="A36" s="29" t="s">
        <v>33</v>
      </c>
      <c r="B36" s="62">
        <f ca="1">INDEX(N5:N36,(MATCH(1,F5:F36,0))-1,0)</f>
        <v>704407.59191341838</v>
      </c>
      <c r="D36" s="19">
        <v>31</v>
      </c>
      <c r="E36" s="3">
        <f t="shared" si="10"/>
        <v>77</v>
      </c>
      <c r="F36" s="3">
        <f t="shared" si="5"/>
        <v>1</v>
      </c>
      <c r="G36" s="4">
        <f t="shared" si="11"/>
        <v>0</v>
      </c>
      <c r="H36" s="4">
        <f t="shared" si="6"/>
        <v>0</v>
      </c>
      <c r="I36" s="5">
        <f t="shared" si="0"/>
        <v>0</v>
      </c>
      <c r="J36" s="5">
        <f t="shared" si="1"/>
        <v>0</v>
      </c>
      <c r="K36" s="4">
        <f ca="1">IF(F36=0,((K35*Inflation_Rate)+K35),(Expense_After_retirement_percent*Last_Salary_before_Retirement)*(1+Inflation_Rate)^(D37-MATCH(1,$F$5:$F$36,0)))</f>
        <v>94416.727024959531</v>
      </c>
      <c r="L36" s="4">
        <f t="shared" si="2"/>
        <v>0</v>
      </c>
      <c r="M36" s="4">
        <f t="shared" si="3"/>
        <v>0</v>
      </c>
      <c r="N36" s="6">
        <f t="shared" ca="1" si="7"/>
        <v>-137255.82162658952</v>
      </c>
      <c r="O36" s="6">
        <f t="shared" ca="1" si="8"/>
        <v>367983.37457161152</v>
      </c>
      <c r="P36" s="6">
        <f t="shared" ca="1" si="4"/>
        <v>239567.32663582987</v>
      </c>
      <c r="Q36" s="20">
        <f t="shared" ca="1" si="9"/>
        <v>0</v>
      </c>
    </row>
    <row r="37" spans="1:17" x14ac:dyDescent="0.3">
      <c r="A37" s="63" t="s">
        <v>41</v>
      </c>
      <c r="B37" s="42">
        <f ca="1">INDEX(O6:O37,(MATCH(1,F6:F37,0))-1,0)</f>
        <v>367983.37457161152</v>
      </c>
      <c r="D37" s="19">
        <v>32</v>
      </c>
      <c r="E37" s="3">
        <f t="shared" si="10"/>
        <v>78</v>
      </c>
      <c r="F37" s="3">
        <f t="shared" si="5"/>
        <v>1</v>
      </c>
      <c r="G37" s="4">
        <f t="shared" si="11"/>
        <v>0</v>
      </c>
      <c r="H37" s="4">
        <f t="shared" si="6"/>
        <v>0</v>
      </c>
      <c r="I37" s="5">
        <f t="shared" ref="I37:I65" si="12">IF(F37=0,H37*$B$13,H37*$B$14)</f>
        <v>0</v>
      </c>
      <c r="J37" s="5">
        <f>H37-I37</f>
        <v>0</v>
      </c>
      <c r="K37" s="4">
        <f ca="1">IF(F37=0,((K36*Inflation_Rate)+K36),(Expense_After_retirement_percent*Last_Salary_before_Retirement)*(1+Inflation_Rate)^(D38-MATCH(1,$F$5:$F$36,0)))</f>
        <v>96305.061565458731</v>
      </c>
      <c r="L37" s="4">
        <f>IF(F37=0,IF((J37-K37)&lt;=Retirement_contribution_By_bob,J37-K37,Retirement_contribution_By_bob),0)</f>
        <v>0</v>
      </c>
      <c r="M37" s="4">
        <f>IF(F37=0,(($B$31*G37)+L37),0)</f>
        <v>0</v>
      </c>
      <c r="N37" s="6">
        <f t="shared" ca="1" si="7"/>
        <v>-245238.92735165064</v>
      </c>
      <c r="O37" s="6">
        <f t="shared" ca="1" si="8"/>
        <v>367983.37457161152</v>
      </c>
      <c r="P37" s="6">
        <f ca="1">IF(F37=0,N37+O37,P36+(N37*Retirement_Investment_return)-K37)</f>
        <v>131000.3187027886</v>
      </c>
      <c r="Q37" s="20">
        <f ca="1">IF(P37&lt;=0,1,0)</f>
        <v>0</v>
      </c>
    </row>
    <row r="38" spans="1:17" ht="14.75" thickBot="1" x14ac:dyDescent="0.35">
      <c r="A38" s="33" t="s">
        <v>40</v>
      </c>
      <c r="B38" s="64">
        <f ca="1">B36+B37</f>
        <v>1072390.96648503</v>
      </c>
      <c r="D38" s="19">
        <v>33</v>
      </c>
      <c r="E38" s="3">
        <f t="shared" si="10"/>
        <v>79</v>
      </c>
      <c r="F38" s="3">
        <f t="shared" si="5"/>
        <v>1</v>
      </c>
      <c r="G38" s="4">
        <f t="shared" si="11"/>
        <v>0</v>
      </c>
      <c r="H38" s="4">
        <f t="shared" si="6"/>
        <v>0</v>
      </c>
      <c r="I38" s="5">
        <f t="shared" si="12"/>
        <v>0</v>
      </c>
      <c r="J38" s="5">
        <f>H38-I38</f>
        <v>0</v>
      </c>
      <c r="K38" s="4">
        <f ca="1">IF(F38=0,((K37*Inflation_Rate)+K37),(Expense_After_retirement_percent*Last_Salary_before_Retirement)*(1+Inflation_Rate)^(D39-MATCH(1,$F$5:$F$36,0)))</f>
        <v>98231.162796767909</v>
      </c>
      <c r="L38" s="4">
        <f>IF(F38=0,IF((J38-K38)&lt;=Retirement_contribution_By_bob,J38-K38,Retirement_contribution_By_bob),0)</f>
        <v>0</v>
      </c>
      <c r="M38" s="4">
        <f>IF(F38=0,(($B$31*G38)+L38),0)</f>
        <v>0</v>
      </c>
      <c r="N38" s="6">
        <f t="shared" ref="N38:N65" ca="1" si="13">IF(F38=0,(N37+(N37*Current_Investment_return)),(N37-K38+((N37-K38)*Retirement_Investment_return)))</f>
        <v>-360643.59465583949</v>
      </c>
      <c r="O38" s="6">
        <f t="shared" ref="O38:O65" ca="1" si="14">O37+M38</f>
        <v>367983.37457161152</v>
      </c>
      <c r="P38" s="6">
        <f ca="1">IF(F38=0,N38+O38,P37+(N38*Retirement_Investment_return)-K38)</f>
        <v>14736.976173228715</v>
      </c>
      <c r="Q38" s="20">
        <f t="shared" ca="1" si="9"/>
        <v>0</v>
      </c>
    </row>
    <row r="39" spans="1:17" x14ac:dyDescent="0.3">
      <c r="D39" s="19">
        <v>34</v>
      </c>
      <c r="E39" s="3">
        <f t="shared" si="10"/>
        <v>80</v>
      </c>
      <c r="F39" s="3">
        <f t="shared" si="5"/>
        <v>1</v>
      </c>
      <c r="G39" s="4">
        <f t="shared" si="11"/>
        <v>0</v>
      </c>
      <c r="H39" s="4">
        <f t="shared" si="6"/>
        <v>0</v>
      </c>
      <c r="I39" s="5">
        <f t="shared" si="12"/>
        <v>0</v>
      </c>
      <c r="J39" s="5">
        <f>H39-I39</f>
        <v>0</v>
      </c>
      <c r="K39" s="4">
        <f ca="1">IF(F39=0,((K38*Inflation_Rate)+K38),(Expense_After_retirement_percent*Last_Salary_before_Retirement)*(1+Inflation_Rate)^(D40-MATCH(1,$F$5:$F$36,0)))</f>
        <v>100195.78605270328</v>
      </c>
      <c r="L39" s="4">
        <f>IF(F39=0,IF((J39-K39)&lt;=Retirement_contribution_By_bob,J39-K39,Retirement_contribution_By_bob),0)</f>
        <v>0</v>
      </c>
      <c r="M39" s="4">
        <f>IF(F39=0,(($B$31*G39)+L39),0)</f>
        <v>0</v>
      </c>
      <c r="N39" s="6">
        <f t="shared" ca="1" si="13"/>
        <v>-483881.34974396991</v>
      </c>
      <c r="O39" s="6">
        <f t="shared" ca="1" si="14"/>
        <v>367983.37457161152</v>
      </c>
      <c r="P39" s="6">
        <f ca="1">IF(F39=0,N39+O39,P38+(N39*Retirement_Investment_return)-K39)</f>
        <v>-109652.87736667306</v>
      </c>
      <c r="Q39" s="20">
        <f t="shared" ca="1" si="9"/>
        <v>1</v>
      </c>
    </row>
    <row r="40" spans="1:17" x14ac:dyDescent="0.3">
      <c r="D40" s="19">
        <v>35</v>
      </c>
      <c r="E40" s="3">
        <f t="shared" si="10"/>
        <v>81</v>
      </c>
      <c r="F40" s="3">
        <f t="shared" si="5"/>
        <v>1</v>
      </c>
      <c r="G40" s="4">
        <f t="shared" si="11"/>
        <v>0</v>
      </c>
      <c r="H40" s="4">
        <f t="shared" si="6"/>
        <v>0</v>
      </c>
      <c r="I40" s="5">
        <f t="shared" si="12"/>
        <v>0</v>
      </c>
      <c r="J40" s="5">
        <f>H40-I40</f>
        <v>0</v>
      </c>
      <c r="K40" s="4">
        <f ca="1">IF(F40=0,((K39*Inflation_Rate)+K39),(Expense_After_retirement_percent*Last_Salary_before_Retirement)*(1+Inflation_Rate)^(D41-MATCH(1,$F$5:$F$36,0)))</f>
        <v>102199.7017737573</v>
      </c>
      <c r="L40" s="4">
        <f>IF(F40=0,IF((J40-K40)&lt;=Retirement_contribution_By_bob,J40-K40,Retirement_contribution_By_bob),0)</f>
        <v>0</v>
      </c>
      <c r="M40" s="4">
        <f>IF(F40=0,(($B$31*G40)+L40),0)</f>
        <v>0</v>
      </c>
      <c r="N40" s="6">
        <f t="shared" ca="1" si="13"/>
        <v>-615385.10409361357</v>
      </c>
      <c r="O40" s="6">
        <f t="shared" ca="1" si="14"/>
        <v>367983.37457161152</v>
      </c>
      <c r="P40" s="6">
        <f ca="1">IF(F40=0,N40+O40,P39+(N40*Retirement_Investment_return)-K40)</f>
        <v>-242621.83434511104</v>
      </c>
      <c r="Q40" s="20">
        <f t="shared" ca="1" si="9"/>
        <v>1</v>
      </c>
    </row>
    <row r="41" spans="1:17" x14ac:dyDescent="0.3">
      <c r="D41" s="19">
        <v>36</v>
      </c>
      <c r="E41" s="3">
        <f t="shared" si="10"/>
        <v>82</v>
      </c>
      <c r="F41" s="3">
        <f t="shared" si="5"/>
        <v>1</v>
      </c>
      <c r="G41" s="4">
        <f t="shared" si="11"/>
        <v>0</v>
      </c>
      <c r="H41" s="4">
        <f t="shared" si="6"/>
        <v>0</v>
      </c>
      <c r="I41" s="5">
        <f t="shared" si="12"/>
        <v>0</v>
      </c>
      <c r="J41" s="5">
        <f>H41-I41</f>
        <v>0</v>
      </c>
      <c r="K41" s="4">
        <f ca="1">IF(F41=0,((K40*Inflation_Rate)+K40),(Expense_After_retirement_percent*Last_Salary_before_Retirement)*(1+Inflation_Rate)^(D42-MATCH(1,$F$5:$F$36,0)))</f>
        <v>104243.69580923248</v>
      </c>
      <c r="L41" s="4">
        <f>IF(F41=0,IF((J41-K41)&lt;=Retirement_contribution_By_bob,J41-K41,Retirement_contribution_By_bob),0)</f>
        <v>0</v>
      </c>
      <c r="M41" s="4">
        <f>IF(F41=0,(($B$31*G41)+L41),0)</f>
        <v>0</v>
      </c>
      <c r="N41" s="6">
        <f t="shared" ca="1" si="13"/>
        <v>-755610.23989798839</v>
      </c>
      <c r="O41" s="6">
        <f t="shared" ca="1" si="14"/>
        <v>367983.37457161152</v>
      </c>
      <c r="P41" s="6">
        <f ca="1">IF(F41=0,N41+O41,P40+(N41*Retirement_Investment_return)-K41)</f>
        <v>-384646.04214924295</v>
      </c>
      <c r="Q41" s="20">
        <f t="shared" ca="1" si="9"/>
        <v>1</v>
      </c>
    </row>
    <row r="42" spans="1:17" x14ac:dyDescent="0.3">
      <c r="D42" s="19">
        <v>37</v>
      </c>
      <c r="E42" s="3">
        <f t="shared" si="10"/>
        <v>83</v>
      </c>
      <c r="F42" s="3">
        <f t="shared" si="5"/>
        <v>1</v>
      </c>
      <c r="G42" s="4">
        <f t="shared" si="11"/>
        <v>0</v>
      </c>
      <c r="H42" s="4">
        <f t="shared" si="6"/>
        <v>0</v>
      </c>
      <c r="I42" s="5">
        <f t="shared" si="12"/>
        <v>0</v>
      </c>
      <c r="J42" s="5">
        <f>H42-I42</f>
        <v>0</v>
      </c>
      <c r="K42" s="4">
        <f ca="1">IF(F42=0,((K41*Inflation_Rate)+K41),(Expense_After_retirement_percent*Last_Salary_before_Retirement)*(1+Inflation_Rate)^(D43-MATCH(1,$F$5:$F$36,0)))</f>
        <v>106328.56972541712</v>
      </c>
      <c r="L42" s="4">
        <f>IF(F42=0,IF((J42-K42)&lt;=Retirement_contribution_By_bob,J42-K42,Retirement_contribution_By_bob),0)</f>
        <v>0</v>
      </c>
      <c r="M42" s="4">
        <f>IF(F42=0,(($B$31*G42)+L42),0)</f>
        <v>0</v>
      </c>
      <c r="N42" s="6">
        <f t="shared" ca="1" si="13"/>
        <v>-905035.75010457588</v>
      </c>
      <c r="O42" s="6">
        <f t="shared" ca="1" si="14"/>
        <v>367983.37457161152</v>
      </c>
      <c r="P42" s="6">
        <f ca="1">IF(F42=0,N42+O42,P41+(N42*Retirement_Investment_return)-K42)</f>
        <v>-536226.39937988878</v>
      </c>
      <c r="Q42" s="20">
        <f t="shared" ca="1" si="9"/>
        <v>1</v>
      </c>
    </row>
    <row r="43" spans="1:17" x14ac:dyDescent="0.3">
      <c r="D43" s="19">
        <v>38</v>
      </c>
      <c r="E43" s="3">
        <f t="shared" si="10"/>
        <v>84</v>
      </c>
      <c r="F43" s="3">
        <f t="shared" si="5"/>
        <v>1</v>
      </c>
      <c r="G43" s="4">
        <f t="shared" si="11"/>
        <v>0</v>
      </c>
      <c r="H43" s="4">
        <f t="shared" si="6"/>
        <v>0</v>
      </c>
      <c r="I43" s="5">
        <f t="shared" si="12"/>
        <v>0</v>
      </c>
      <c r="J43" s="5">
        <f>H43-I43</f>
        <v>0</v>
      </c>
      <c r="K43" s="4">
        <f ca="1">IF(F43=0,((K42*Inflation_Rate)+K42),(Expense_After_retirement_percent*Last_Salary_before_Retirement)*(1+Inflation_Rate)^(D44-MATCH(1,$F$5:$F$36,0)))</f>
        <v>108455.14111992547</v>
      </c>
      <c r="L43" s="4">
        <f>IF(F43=0,IF((J43-K43)&lt;=Retirement_contribution_By_bob,J43-K43,Retirement_contribution_By_bob),0)</f>
        <v>0</v>
      </c>
      <c r="M43" s="4">
        <f>IF(F43=0,(($B$31*G43)+L43),0)</f>
        <v>0</v>
      </c>
      <c r="N43" s="6">
        <f t="shared" ca="1" si="13"/>
        <v>-1064165.4357857264</v>
      </c>
      <c r="O43" s="6">
        <f t="shared" ca="1" si="14"/>
        <v>367983.37457161152</v>
      </c>
      <c r="P43" s="6">
        <f ca="1">IF(F43=0,N43+O43,P42+(N43*Retirement_Investment_return)-K43)</f>
        <v>-697889.81228910049</v>
      </c>
      <c r="Q43" s="20">
        <f t="shared" ca="1" si="9"/>
        <v>1</v>
      </c>
    </row>
    <row r="44" spans="1:17" x14ac:dyDescent="0.3">
      <c r="D44" s="19">
        <v>39</v>
      </c>
      <c r="E44" s="3">
        <f t="shared" si="10"/>
        <v>85</v>
      </c>
      <c r="F44" s="3">
        <f t="shared" si="5"/>
        <v>1</v>
      </c>
      <c r="G44" s="4">
        <f t="shared" si="11"/>
        <v>0</v>
      </c>
      <c r="H44" s="4">
        <f t="shared" si="6"/>
        <v>0</v>
      </c>
      <c r="I44" s="5">
        <f t="shared" si="12"/>
        <v>0</v>
      </c>
      <c r="J44" s="5">
        <f>H44-I44</f>
        <v>0</v>
      </c>
      <c r="K44" s="4">
        <f ca="1">IF(F44=0,((K43*Inflation_Rate)+K43),(Expense_After_retirement_percent*Last_Salary_before_Retirement)*(1+Inflation_Rate)^(D45-MATCH(1,$F$5:$F$36,0)))</f>
        <v>110624.24394232397</v>
      </c>
      <c r="L44" s="4">
        <f>IF(F44=0,IF((J44-K44)&lt;=Retirement_contribution_By_bob,J44-K44,Retirement_contribution_By_bob),0)</f>
        <v>0</v>
      </c>
      <c r="M44" s="4">
        <f>IF(F44=0,(($B$31*G44)+L44),0)</f>
        <v>0</v>
      </c>
      <c r="N44" s="6">
        <f t="shared" ca="1" si="13"/>
        <v>-1233529.1637144531</v>
      </c>
      <c r="O44" s="6">
        <f t="shared" ca="1" si="14"/>
        <v>367983.37457161152</v>
      </c>
      <c r="P44" s="6">
        <f ca="1">IF(F44=0,N44+O44,P43+(N44*Retirement_Investment_return)-K44)</f>
        <v>-870190.51441714715</v>
      </c>
      <c r="Q44" s="20">
        <f t="shared" ca="1" si="9"/>
        <v>1</v>
      </c>
    </row>
    <row r="45" spans="1:17" x14ac:dyDescent="0.3">
      <c r="D45" s="19">
        <v>40</v>
      </c>
      <c r="E45" s="3">
        <f t="shared" si="10"/>
        <v>86</v>
      </c>
      <c r="F45" s="3">
        <f t="shared" si="5"/>
        <v>1</v>
      </c>
      <c r="G45" s="4">
        <f t="shared" si="11"/>
        <v>0</v>
      </c>
      <c r="H45" s="4">
        <f t="shared" si="6"/>
        <v>0</v>
      </c>
      <c r="I45" s="5">
        <f t="shared" si="12"/>
        <v>0</v>
      </c>
      <c r="J45" s="5">
        <f>H45-I45</f>
        <v>0</v>
      </c>
      <c r="K45" s="4">
        <f ca="1">IF(F45=0,((K44*Inflation_Rate)+K44),(Expense_After_retirement_percent*Last_Salary_before_Retirement)*(1+Inflation_Rate)^(D46-MATCH(1,$F$5:$F$36,0)))</f>
        <v>112836.72882117046</v>
      </c>
      <c r="L45" s="4">
        <f>IF(F45=0,IF((J45-K45)&lt;=Retirement_contribution_By_bob,J45-K45,Retirement_contribution_By_bob),0)</f>
        <v>0</v>
      </c>
      <c r="M45" s="4">
        <f>IF(F45=0,(($B$31*G45)+L45),0)</f>
        <v>0</v>
      </c>
      <c r="N45" s="6">
        <f t="shared" ca="1" si="13"/>
        <v>-1413684.1871624049</v>
      </c>
      <c r="O45" s="6">
        <f t="shared" ca="1" si="14"/>
        <v>367983.37457161152</v>
      </c>
      <c r="P45" s="6">
        <f ca="1">IF(F45=0,N45+O45,P44+(N45*Retirement_Investment_return)-K45)</f>
        <v>-1053711.4525964379</v>
      </c>
      <c r="Q45" s="20">
        <f t="shared" ca="1" si="9"/>
        <v>1</v>
      </c>
    </row>
    <row r="46" spans="1:17" x14ac:dyDescent="0.3">
      <c r="D46" s="19">
        <v>41</v>
      </c>
      <c r="E46" s="3">
        <f t="shared" si="10"/>
        <v>87</v>
      </c>
      <c r="F46" s="3">
        <f t="shared" si="5"/>
        <v>1</v>
      </c>
      <c r="G46" s="4">
        <f t="shared" si="11"/>
        <v>0</v>
      </c>
      <c r="H46" s="4">
        <f t="shared" si="6"/>
        <v>0</v>
      </c>
      <c r="I46" s="5">
        <f t="shared" si="12"/>
        <v>0</v>
      </c>
      <c r="J46" s="5">
        <f>H46-I46</f>
        <v>0</v>
      </c>
      <c r="K46" s="4">
        <f ca="1">IF(F46=0,((K45*Inflation_Rate)+K45),(Expense_After_retirement_percent*Last_Salary_before_Retirement)*(1+Inflation_Rate)^(D47-MATCH(1,$F$5:$F$36,0)))</f>
        <v>115093.46339759386</v>
      </c>
      <c r="L46" s="4">
        <f>IF(F46=0,IF((J46-K46)&lt;=Retirement_contribution_By_bob,J46-K46,Retirement_contribution_By_bob),0)</f>
        <v>0</v>
      </c>
      <c r="M46" s="4">
        <f>IF(F46=0,(($B$31*G46)+L46),0)</f>
        <v>0</v>
      </c>
      <c r="N46" s="6">
        <f t="shared" ca="1" si="13"/>
        <v>-1605216.5330879989</v>
      </c>
      <c r="O46" s="6">
        <f t="shared" ca="1" si="14"/>
        <v>367983.37457161152</v>
      </c>
      <c r="P46" s="6">
        <f ca="1">IF(F46=0,N46+O46,P45+(N46*Retirement_Investment_return)-K46)</f>
        <v>-1249065.7426484318</v>
      </c>
      <c r="Q46" s="20">
        <f t="shared" ca="1" si="9"/>
        <v>1</v>
      </c>
    </row>
    <row r="47" spans="1:17" x14ac:dyDescent="0.3">
      <c r="D47" s="19">
        <v>42</v>
      </c>
      <c r="E47" s="3">
        <f t="shared" si="10"/>
        <v>88</v>
      </c>
      <c r="F47" s="3">
        <f t="shared" si="5"/>
        <v>1</v>
      </c>
      <c r="G47" s="4">
        <f t="shared" si="11"/>
        <v>0</v>
      </c>
      <c r="H47" s="4">
        <f t="shared" si="6"/>
        <v>0</v>
      </c>
      <c r="I47" s="5">
        <f t="shared" si="12"/>
        <v>0</v>
      </c>
      <c r="J47" s="5">
        <f>H47-I47</f>
        <v>0</v>
      </c>
      <c r="K47" s="4">
        <f ca="1">IF(F47=0,((K46*Inflation_Rate)+K46),(Expense_After_retirement_percent*Last_Salary_before_Retirement)*(1+Inflation_Rate)^(D48-MATCH(1,$F$5:$F$36,0)))</f>
        <v>117395.33266554573</v>
      </c>
      <c r="L47" s="4">
        <f>IF(F47=0,IF((J47-K47)&lt;=Retirement_contribution_By_bob,J47-K47,Retirement_contribution_By_bob),0)</f>
        <v>0</v>
      </c>
      <c r="M47" s="4">
        <f>IF(F47=0,(($B$31*G47)+L47),0)</f>
        <v>0</v>
      </c>
      <c r="N47" s="6">
        <f t="shared" ca="1" si="13"/>
        <v>-1808742.4590412218</v>
      </c>
      <c r="O47" s="6">
        <f t="shared" ca="1" si="14"/>
        <v>367983.37457161152</v>
      </c>
      <c r="P47" s="6">
        <f ca="1">IF(F47=0,N47+O47,P46+(N47*Retirement_Investment_return)-K47)</f>
        <v>-1456898.1982660384</v>
      </c>
      <c r="Q47" s="20">
        <f t="shared" ca="1" si="9"/>
        <v>1</v>
      </c>
    </row>
    <row r="48" spans="1:17" x14ac:dyDescent="0.3">
      <c r="D48" s="19">
        <v>43</v>
      </c>
      <c r="E48" s="3">
        <f t="shared" si="10"/>
        <v>89</v>
      </c>
      <c r="F48" s="3">
        <f t="shared" si="5"/>
        <v>1</v>
      </c>
      <c r="G48" s="4">
        <f t="shared" si="11"/>
        <v>0</v>
      </c>
      <c r="H48" s="4">
        <f t="shared" si="6"/>
        <v>0</v>
      </c>
      <c r="I48" s="5">
        <f t="shared" si="12"/>
        <v>0</v>
      </c>
      <c r="J48" s="5">
        <f>H48-I48</f>
        <v>0</v>
      </c>
      <c r="K48" s="4">
        <f ca="1">IF(F48=0,((K47*Inflation_Rate)+K47),(Expense_After_retirement_percent*Last_Salary_before_Retirement)*(1+Inflation_Rate)^(D49-MATCH(1,$F$5:$F$36,0)))</f>
        <v>119743.23931885663</v>
      </c>
      <c r="L48" s="4">
        <f>IF(F48=0,IF((J48-K48)&lt;=Retirement_contribution_By_bob,J48-K48,Retirement_contribution_By_bob),0)</f>
        <v>0</v>
      </c>
      <c r="M48" s="4">
        <f>IF(F48=0,(($B$31*G48)+L48),0)</f>
        <v>0</v>
      </c>
      <c r="N48" s="6">
        <f t="shared" ca="1" si="13"/>
        <v>-2024909.9832780825</v>
      </c>
      <c r="O48" s="6">
        <f t="shared" ca="1" si="14"/>
        <v>367983.37457161152</v>
      </c>
      <c r="P48" s="6">
        <f ca="1">IF(F48=0,N48+O48,P47+(N48*Retirement_Investment_return)-K48)</f>
        <v>-1677886.9367487994</v>
      </c>
      <c r="Q48" s="20">
        <f t="shared" ca="1" si="9"/>
        <v>1</v>
      </c>
    </row>
    <row r="49" spans="4:17" x14ac:dyDescent="0.3">
      <c r="D49" s="19">
        <v>44</v>
      </c>
      <c r="E49" s="3">
        <f t="shared" si="10"/>
        <v>90</v>
      </c>
      <c r="F49" s="3">
        <f t="shared" si="5"/>
        <v>1</v>
      </c>
      <c r="G49" s="4">
        <f t="shared" si="11"/>
        <v>0</v>
      </c>
      <c r="H49" s="4">
        <f t="shared" si="6"/>
        <v>0</v>
      </c>
      <c r="I49" s="5">
        <f t="shared" si="12"/>
        <v>0</v>
      </c>
      <c r="J49" s="5">
        <f>H49-I49</f>
        <v>0</v>
      </c>
      <c r="K49" s="4">
        <f ca="1">IF(F49=0,((K48*Inflation_Rate)+K48),(Expense_After_retirement_percent*Last_Salary_before_Retirement)*(1+Inflation_Rate)^(D50-MATCH(1,$F$5:$F$36,0)))</f>
        <v>122138.10410523377</v>
      </c>
      <c r="L49" s="4">
        <f>IF(F49=0,IF((J49-K49)&lt;=Retirement_contribution_By_bob,J49-K49,Retirement_contribution_By_bob),0)</f>
        <v>0</v>
      </c>
      <c r="M49" s="4">
        <f>IF(F49=0,(($B$31*G49)+L49),0)</f>
        <v>0</v>
      </c>
      <c r="N49" s="6">
        <f t="shared" ca="1" si="13"/>
        <v>-2254400.491752482</v>
      </c>
      <c r="O49" s="6">
        <f t="shared" ca="1" si="14"/>
        <v>367983.37457161152</v>
      </c>
      <c r="P49" s="6">
        <f ca="1">IF(F49=0,N49+O49,P48+(N49*Retirement_Investment_return)-K49)</f>
        <v>-1912745.0654416571</v>
      </c>
      <c r="Q49" s="20">
        <f t="shared" ca="1" si="9"/>
        <v>1</v>
      </c>
    </row>
    <row r="50" spans="4:17" x14ac:dyDescent="0.3">
      <c r="D50" s="19">
        <v>45</v>
      </c>
      <c r="E50" s="3">
        <f t="shared" si="10"/>
        <v>91</v>
      </c>
      <c r="F50" s="3">
        <f t="shared" si="5"/>
        <v>1</v>
      </c>
      <c r="G50" s="4">
        <f t="shared" si="11"/>
        <v>0</v>
      </c>
      <c r="H50" s="4">
        <f t="shared" si="6"/>
        <v>0</v>
      </c>
      <c r="I50" s="5">
        <f t="shared" si="12"/>
        <v>0</v>
      </c>
      <c r="J50" s="5">
        <f>H50-I50</f>
        <v>0</v>
      </c>
      <c r="K50" s="4">
        <f ca="1">IF(F50=0,((K49*Inflation_Rate)+K49),(Expense_After_retirement_percent*Last_Salary_before_Retirement)*(1+Inflation_Rate)^(D51-MATCH(1,$F$5:$F$36,0)))</f>
        <v>124580.86618733844</v>
      </c>
      <c r="L50" s="4">
        <f>IF(F50=0,IF((J50-K50)&lt;=Retirement_contribution_By_bob,J50-K50,Retirement_contribution_By_bob),0)</f>
        <v>0</v>
      </c>
      <c r="M50" s="4">
        <f>IF(F50=0,(($B$31*G50)+L50),0)</f>
        <v>0</v>
      </c>
      <c r="N50" s="6">
        <f t="shared" ca="1" si="13"/>
        <v>-2497930.4258368113</v>
      </c>
      <c r="O50" s="6">
        <f t="shared" ca="1" si="14"/>
        <v>367983.37457161152</v>
      </c>
      <c r="P50" s="6">
        <f ca="1">IF(F50=0,N50+O50,P49+(N50*Retirement_Investment_return)-K50)</f>
        <v>-2162222.4529208359</v>
      </c>
      <c r="Q50" s="20">
        <f t="shared" ca="1" si="9"/>
        <v>1</v>
      </c>
    </row>
    <row r="51" spans="4:17" x14ac:dyDescent="0.3">
      <c r="D51" s="19">
        <v>46</v>
      </c>
      <c r="E51" s="3">
        <f t="shared" si="10"/>
        <v>92</v>
      </c>
      <c r="F51" s="3">
        <f t="shared" si="5"/>
        <v>1</v>
      </c>
      <c r="G51" s="4">
        <f t="shared" si="11"/>
        <v>0</v>
      </c>
      <c r="H51" s="4">
        <f t="shared" si="6"/>
        <v>0</v>
      </c>
      <c r="I51" s="5">
        <f t="shared" si="12"/>
        <v>0</v>
      </c>
      <c r="J51" s="5">
        <f>H51-I51</f>
        <v>0</v>
      </c>
      <c r="K51" s="4">
        <f ca="1">IF(F51=0,((K50*Inflation_Rate)+K50),(Expense_After_retirement_percent*Last_Salary_before_Retirement)*(1+Inflation_Rate)^(D52-MATCH(1,$F$5:$F$36,0)))</f>
        <v>127072.48351108523</v>
      </c>
      <c r="L51" s="4">
        <f>IF(F51=0,IF((J51-K51)&lt;=Retirement_contribution_By_bob,J51-K51,Retirement_contribution_By_bob),0)</f>
        <v>0</v>
      </c>
      <c r="M51" s="4">
        <f>IF(F51=0,(($B$31*G51)+L51),0)</f>
        <v>0</v>
      </c>
      <c r="N51" s="6">
        <f t="shared" ca="1" si="13"/>
        <v>-2756253.0548152914</v>
      </c>
      <c r="O51" s="6">
        <f t="shared" ca="1" si="14"/>
        <v>367983.37457161152</v>
      </c>
      <c r="P51" s="6">
        <f ca="1">IF(F51=0,N51+O51,P50+(N51*Retirement_Investment_return)-K51)</f>
        <v>-2427107.5891726855</v>
      </c>
      <c r="Q51" s="20">
        <f t="shared" ca="1" si="9"/>
        <v>1</v>
      </c>
    </row>
    <row r="52" spans="4:17" x14ac:dyDescent="0.3">
      <c r="D52" s="19">
        <v>47</v>
      </c>
      <c r="E52" s="3">
        <f t="shared" si="10"/>
        <v>93</v>
      </c>
      <c r="F52" s="3">
        <f t="shared" si="5"/>
        <v>1</v>
      </c>
      <c r="G52" s="4">
        <f t="shared" si="11"/>
        <v>0</v>
      </c>
      <c r="H52" s="4">
        <f t="shared" si="6"/>
        <v>0</v>
      </c>
      <c r="I52" s="5">
        <f t="shared" si="12"/>
        <v>0</v>
      </c>
      <c r="J52" s="5">
        <f>H52-I52</f>
        <v>0</v>
      </c>
      <c r="K52" s="4">
        <f ca="1">IF(F52=0,((K51*Inflation_Rate)+K51),(Expense_After_retirement_percent*Last_Salary_before_Retirement)*(1+Inflation_Rate)^(D53-MATCH(1,$F$5:$F$36,0)))</f>
        <v>129613.93318130691</v>
      </c>
      <c r="L52" s="4">
        <f>IF(F52=0,IF((J52-K52)&lt;=Retirement_contribution_By_bob,J52-K52,Retirement_contribution_By_bob),0)</f>
        <v>0</v>
      </c>
      <c r="M52" s="4">
        <f>IF(F52=0,(($B$31*G52)+L52),0)</f>
        <v>0</v>
      </c>
      <c r="N52" s="6">
        <f t="shared" ca="1" si="13"/>
        <v>-3030160.337396428</v>
      </c>
      <c r="O52" s="6">
        <f t="shared" ca="1" si="14"/>
        <v>367983.37457161152</v>
      </c>
      <c r="P52" s="6">
        <f ca="1">IF(F52=0,N52+O52,P51+(N52*Retirement_Investment_return)-K52)</f>
        <v>-2708229.5392238139</v>
      </c>
      <c r="Q52" s="20">
        <f t="shared" ca="1" si="9"/>
        <v>1</v>
      </c>
    </row>
    <row r="53" spans="4:17" x14ac:dyDescent="0.3">
      <c r="D53" s="19">
        <v>48</v>
      </c>
      <c r="E53" s="3">
        <f t="shared" si="10"/>
        <v>94</v>
      </c>
      <c r="F53" s="3">
        <f t="shared" si="5"/>
        <v>1</v>
      </c>
      <c r="G53" s="4">
        <f t="shared" si="11"/>
        <v>0</v>
      </c>
      <c r="H53" s="4">
        <f t="shared" si="6"/>
        <v>0</v>
      </c>
      <c r="I53" s="5">
        <f t="shared" si="12"/>
        <v>0</v>
      </c>
      <c r="J53" s="5">
        <f>H53-I53</f>
        <v>0</v>
      </c>
      <c r="K53" s="4">
        <f ca="1">IF(F53=0,((K52*Inflation_Rate)+K52),(Expense_After_retirement_percent*Last_Salary_before_Retirement)*(1+Inflation_Rate)^(D54-MATCH(1,$F$5:$F$36,0)))</f>
        <v>132206.21184493307</v>
      </c>
      <c r="L53" s="4">
        <f>IF(F53=0,IF((J53-K53)&lt;=Retirement_contribution_By_bob,J53-K53,Retirement_contribution_By_bob),0)</f>
        <v>0</v>
      </c>
      <c r="M53" s="4">
        <f>IF(F53=0,(($B$31*G53)+L53),0)</f>
        <v>0</v>
      </c>
      <c r="N53" s="6">
        <f t="shared" ca="1" si="13"/>
        <v>-3320484.876703429</v>
      </c>
      <c r="O53" s="6">
        <f t="shared" ca="1" si="14"/>
        <v>367983.37457161152</v>
      </c>
      <c r="P53" s="6">
        <f ca="1">IF(F53=0,N53+O53,P52+(N53*Retirement_Investment_return)-K53)</f>
        <v>-3006459.9949039184</v>
      </c>
      <c r="Q53" s="20">
        <f t="shared" ca="1" si="9"/>
        <v>1</v>
      </c>
    </row>
    <row r="54" spans="4:17" x14ac:dyDescent="0.3">
      <c r="D54" s="19">
        <v>49</v>
      </c>
      <c r="E54" s="3">
        <f t="shared" si="10"/>
        <v>95</v>
      </c>
      <c r="F54" s="3">
        <f t="shared" si="5"/>
        <v>1</v>
      </c>
      <c r="G54" s="4">
        <f t="shared" si="11"/>
        <v>0</v>
      </c>
      <c r="H54" s="4">
        <f t="shared" si="6"/>
        <v>0</v>
      </c>
      <c r="I54" s="5">
        <f t="shared" si="12"/>
        <v>0</v>
      </c>
      <c r="J54" s="5">
        <f>H54-I54</f>
        <v>0</v>
      </c>
      <c r="K54" s="4">
        <f ca="1">IF(F54=0,((K53*Inflation_Rate)+K53),(Expense_After_retirement_percent*Last_Salary_before_Retirement)*(1+Inflation_Rate)^(D55-MATCH(1,$F$5:$F$36,0)))</f>
        <v>134850.33608183172</v>
      </c>
      <c r="L54" s="4">
        <f>IF(F54=0,IF((J54-K54)&lt;=Retirement_contribution_By_bob,J54-K54,Retirement_contribution_By_bob),0)</f>
        <v>0</v>
      </c>
      <c r="M54" s="4">
        <f>IF(F54=0,(($B$31*G54)+L54),0)</f>
        <v>0</v>
      </c>
      <c r="N54" s="6">
        <f t="shared" ca="1" si="13"/>
        <v>-3628101.9734245236</v>
      </c>
      <c r="O54" s="6">
        <f t="shared" ca="1" si="14"/>
        <v>367983.37457161152</v>
      </c>
      <c r="P54" s="6">
        <f ca="1">IF(F54=0,N54+O54,P53+(N54*Retirement_Investment_return)-K54)</f>
        <v>-3322715.4296569764</v>
      </c>
      <c r="Q54" s="20">
        <f t="shared" ca="1" si="9"/>
        <v>1</v>
      </c>
    </row>
    <row r="55" spans="4:17" x14ac:dyDescent="0.3">
      <c r="D55" s="19">
        <v>50</v>
      </c>
      <c r="E55" s="3">
        <f t="shared" si="10"/>
        <v>96</v>
      </c>
      <c r="F55" s="3">
        <f t="shared" si="5"/>
        <v>1</v>
      </c>
      <c r="G55" s="4">
        <f t="shared" si="11"/>
        <v>0</v>
      </c>
      <c r="H55" s="4">
        <f t="shared" si="6"/>
        <v>0</v>
      </c>
      <c r="I55" s="5">
        <f t="shared" si="12"/>
        <v>0</v>
      </c>
      <c r="J55" s="5">
        <f>H55-I55</f>
        <v>0</v>
      </c>
      <c r="K55" s="4">
        <f ca="1">IF(F55=0,((K54*Inflation_Rate)+K54),(Expense_After_retirement_percent*Last_Salary_before_Retirement)*(1+Inflation_Rate)^(D56-MATCH(1,$F$5:$F$36,0)))</f>
        <v>137547.34280346837</v>
      </c>
      <c r="L55" s="4">
        <f>IF(F55=0,IF((J55-K55)&lt;=Retirement_contribution_By_bob,J55-K55,Retirement_contribution_By_bob),0)</f>
        <v>0</v>
      </c>
      <c r="M55" s="4">
        <f>IF(F55=0,(($B$31*G55)+L55),0)</f>
        <v>0</v>
      </c>
      <c r="N55" s="6">
        <f t="shared" ca="1" si="13"/>
        <v>-3953931.7820393918</v>
      </c>
      <c r="O55" s="6">
        <f t="shared" ca="1" si="14"/>
        <v>367983.37457161152</v>
      </c>
      <c r="P55" s="6">
        <f ca="1">IF(F55=0,N55+O55,P54+(N55*Retirement_Investment_return)-K55)</f>
        <v>-3657959.3615624146</v>
      </c>
      <c r="Q55" s="20">
        <f t="shared" ca="1" si="9"/>
        <v>1</v>
      </c>
    </row>
    <row r="56" spans="4:17" x14ac:dyDescent="0.3">
      <c r="D56" s="19">
        <v>51</v>
      </c>
      <c r="E56" s="3">
        <f t="shared" si="10"/>
        <v>97</v>
      </c>
      <c r="F56" s="3">
        <f t="shared" si="5"/>
        <v>1</v>
      </c>
      <c r="G56" s="4">
        <f t="shared" si="11"/>
        <v>0</v>
      </c>
      <c r="H56" s="4">
        <f t="shared" si="6"/>
        <v>0</v>
      </c>
      <c r="I56" s="5">
        <f t="shared" si="12"/>
        <v>0</v>
      </c>
      <c r="J56" s="5">
        <f>H56-I56</f>
        <v>0</v>
      </c>
      <c r="K56" s="4">
        <f ca="1">IF(F56=0,((K55*Inflation_Rate)+K55),(Expense_After_retirement_percent*Last_Salary_before_Retirement)*(1+Inflation_Rate)^(D57-MATCH(1,$F$5:$F$36,0)))</f>
        <v>140298.2896595377</v>
      </c>
      <c r="L56" s="4">
        <f>IF(F56=0,IF((J56-K56)&lt;=Retirement_contribution_By_bob,J56-K56,Retirement_contribution_By_bob),0)</f>
        <v>0</v>
      </c>
      <c r="M56" s="4">
        <f>IF(F56=0,(($B$31*G56)+L56),0)</f>
        <v>0</v>
      </c>
      <c r="N56" s="6">
        <f t="shared" ca="1" si="13"/>
        <v>-4298941.5752838757</v>
      </c>
      <c r="O56" s="6">
        <f t="shared" ca="1" si="14"/>
        <v>367983.37457161152</v>
      </c>
      <c r="P56" s="6">
        <f ca="1">IF(F56=0,N56+O56,P55+(N56*Retirement_Investment_return)-K56)</f>
        <v>-4013204.7299861461</v>
      </c>
      <c r="Q56" s="20">
        <f t="shared" ca="1" si="9"/>
        <v>1</v>
      </c>
    </row>
    <row r="57" spans="4:17" x14ac:dyDescent="0.3">
      <c r="D57" s="19">
        <v>52</v>
      </c>
      <c r="E57" s="3">
        <f t="shared" si="10"/>
        <v>98</v>
      </c>
      <c r="F57" s="3">
        <f t="shared" si="5"/>
        <v>1</v>
      </c>
      <c r="G57" s="4">
        <f t="shared" si="11"/>
        <v>0</v>
      </c>
      <c r="H57" s="4">
        <f t="shared" si="6"/>
        <v>0</v>
      </c>
      <c r="I57" s="5">
        <f t="shared" si="12"/>
        <v>0</v>
      </c>
      <c r="J57" s="5">
        <f>H57-I57</f>
        <v>0</v>
      </c>
      <c r="K57" s="4">
        <f ca="1">IF(F57=0,((K56*Inflation_Rate)+K56),(Expense_After_retirement_percent*Last_Salary_before_Retirement)*(1+Inflation_Rate)^(D58-MATCH(1,$F$5:$F$36,0)))</f>
        <v>143104.25545272848</v>
      </c>
      <c r="L57" s="4">
        <f>IF(F57=0,IF((J57-K57)&lt;=Retirement_contribution_By_bob,J57-K57,Retirement_contribution_By_bob),0)</f>
        <v>0</v>
      </c>
      <c r="M57" s="4">
        <f>IF(F57=0,(($B$31*G57)+L57),0)</f>
        <v>0</v>
      </c>
      <c r="N57" s="6">
        <f t="shared" ca="1" si="13"/>
        <v>-4664148.1222734349</v>
      </c>
      <c r="O57" s="6">
        <f t="shared" ca="1" si="14"/>
        <v>367983.37457161152</v>
      </c>
      <c r="P57" s="6">
        <f ca="1">IF(F57=0,N57+O57,P56+(N57*Retirement_Investment_return)-K57)</f>
        <v>-4389516.391552547</v>
      </c>
      <c r="Q57" s="20">
        <f t="shared" ca="1" si="9"/>
        <v>1</v>
      </c>
    </row>
    <row r="58" spans="4:17" x14ac:dyDescent="0.3">
      <c r="D58" s="19">
        <v>53</v>
      </c>
      <c r="E58" s="3">
        <f t="shared" si="10"/>
        <v>99</v>
      </c>
      <c r="F58" s="3">
        <f t="shared" si="5"/>
        <v>1</v>
      </c>
      <c r="G58" s="4">
        <f t="shared" si="11"/>
        <v>0</v>
      </c>
      <c r="H58" s="4">
        <f t="shared" si="6"/>
        <v>0</v>
      </c>
      <c r="I58" s="5">
        <f t="shared" si="12"/>
        <v>0</v>
      </c>
      <c r="J58" s="5">
        <f>H58-I58</f>
        <v>0</v>
      </c>
      <c r="K58" s="4">
        <f ca="1">IF(F58=0,((K57*Inflation_Rate)+K57),(Expense_After_retirement_percent*Last_Salary_before_Retirement)*(1+Inflation_Rate)^(D59-MATCH(1,$F$5:$F$36,0)))</f>
        <v>145966.34056178306</v>
      </c>
      <c r="L58" s="4">
        <f>IF(F58=0,IF((J58-K58)&lt;=Retirement_contribution_By_bob,J58-K58,Retirement_contribution_By_bob),0)</f>
        <v>0</v>
      </c>
      <c r="M58" s="4">
        <f>IF(F58=0,(($B$31*G58)+L58),0)</f>
        <v>0</v>
      </c>
      <c r="N58" s="6">
        <f t="shared" ca="1" si="13"/>
        <v>-5050620.1859769784</v>
      </c>
      <c r="O58" s="6">
        <f t="shared" ca="1" si="14"/>
        <v>367983.37457161152</v>
      </c>
      <c r="P58" s="6">
        <f ca="1">IF(F58=0,N58+O58,P57+(N58*Retirement_Investment_return)-K58)</f>
        <v>-4788013.7414131789</v>
      </c>
      <c r="Q58" s="20">
        <f t="shared" ca="1" si="9"/>
        <v>1</v>
      </c>
    </row>
    <row r="59" spans="4:17" x14ac:dyDescent="0.3">
      <c r="D59" s="19">
        <v>54</v>
      </c>
      <c r="E59" s="3">
        <f t="shared" si="10"/>
        <v>100</v>
      </c>
      <c r="F59" s="3">
        <f t="shared" si="5"/>
        <v>1</v>
      </c>
      <c r="G59" s="4">
        <f t="shared" si="11"/>
        <v>0</v>
      </c>
      <c r="H59" s="4">
        <f t="shared" si="6"/>
        <v>0</v>
      </c>
      <c r="I59" s="5">
        <f t="shared" si="12"/>
        <v>0</v>
      </c>
      <c r="J59" s="5">
        <f>H59-I59</f>
        <v>0</v>
      </c>
      <c r="K59" s="4">
        <f ca="1">IF(F59=0,((K58*Inflation_Rate)+K58),(Expense_After_retirement_percent*Last_Salary_before_Retirement)*(1+Inflation_Rate)^(D60-MATCH(1,$F$5:$F$36,0)))</f>
        <v>148885.66737301872</v>
      </c>
      <c r="L59" s="4">
        <f>IF(F59=0,IF((J59-K59)&lt;=Retirement_contribution_By_bob,J59-K59,Retirement_contribution_By_bob),0)</f>
        <v>0</v>
      </c>
      <c r="M59" s="4">
        <f>IF(F59=0,(($B$31*G59)+L59),0)</f>
        <v>0</v>
      </c>
      <c r="N59" s="6">
        <f t="shared" ca="1" si="13"/>
        <v>-5459481.1460174965</v>
      </c>
      <c r="O59" s="6">
        <f t="shared" ca="1" si="14"/>
        <v>367983.37457161152</v>
      </c>
      <c r="P59" s="6">
        <f ca="1">IF(F59=0,N59+O59,P58+(N59*Retirement_Investment_return)-K59)</f>
        <v>-5209873.4660870722</v>
      </c>
      <c r="Q59" s="20">
        <f t="shared" ca="1" si="9"/>
        <v>1</v>
      </c>
    </row>
    <row r="60" spans="4:17" x14ac:dyDescent="0.3">
      <c r="D60" s="19">
        <v>55</v>
      </c>
      <c r="E60" s="3">
        <f t="shared" si="10"/>
        <v>101</v>
      </c>
      <c r="F60" s="3">
        <f t="shared" si="5"/>
        <v>1</v>
      </c>
      <c r="G60" s="4">
        <f t="shared" si="11"/>
        <v>0</v>
      </c>
      <c r="H60" s="4">
        <f t="shared" si="6"/>
        <v>0</v>
      </c>
      <c r="I60" s="5">
        <f t="shared" si="12"/>
        <v>0</v>
      </c>
      <c r="J60" s="5">
        <f>H60-I60</f>
        <v>0</v>
      </c>
      <c r="K60" s="4">
        <f ca="1">IF(F60=0,((K59*Inflation_Rate)+K59),(Expense_After_retirement_percent*Last_Salary_before_Retirement)*(1+Inflation_Rate)^(D61-MATCH(1,$F$5:$F$36,0)))</f>
        <v>151863.38072047909</v>
      </c>
      <c r="L60" s="4">
        <f>IF(F60=0,IF((J60-K60)&lt;=Retirement_contribution_By_bob,J60-K60,Retirement_contribution_By_bob),0)</f>
        <v>0</v>
      </c>
      <c r="M60" s="4">
        <f>IF(F60=0,(($B$31*G60)+L60),0)</f>
        <v>0</v>
      </c>
      <c r="N60" s="6">
        <f t="shared" ca="1" si="13"/>
        <v>-5891911.7530748751</v>
      </c>
      <c r="O60" s="6">
        <f t="shared" ca="1" si="14"/>
        <v>367983.37457161152</v>
      </c>
      <c r="P60" s="6">
        <f ca="1">IF(F60=0,N60+O60,P59+(N60*Retirement_Investment_return)-K60)</f>
        <v>-5656332.4344612956</v>
      </c>
      <c r="Q60" s="20">
        <f t="shared" ca="1" si="9"/>
        <v>1</v>
      </c>
    </row>
    <row r="61" spans="4:17" x14ac:dyDescent="0.3">
      <c r="D61" s="19">
        <v>56</v>
      </c>
      <c r="E61" s="3">
        <f t="shared" si="10"/>
        <v>102</v>
      </c>
      <c r="F61" s="3">
        <f t="shared" si="5"/>
        <v>1</v>
      </c>
      <c r="G61" s="4">
        <f t="shared" si="11"/>
        <v>0</v>
      </c>
      <c r="H61" s="4">
        <f t="shared" si="6"/>
        <v>0</v>
      </c>
      <c r="I61" s="5">
        <f t="shared" si="12"/>
        <v>0</v>
      </c>
      <c r="J61" s="5">
        <f>H61-I61</f>
        <v>0</v>
      </c>
      <c r="K61" s="4">
        <f ca="1">IF(F61=0,((K60*Inflation_Rate)+K60),(Expense_After_retirement_percent*Last_Salary_before_Retirement)*(1+Inflation_Rate)^(D62-MATCH(1,$F$5:$F$36,0)))</f>
        <v>154900.64833488865</v>
      </c>
      <c r="L61" s="4">
        <f>IF(F61=0,IF((J61-K61)&lt;=Retirement_contribution_By_bob,J61-K61,Retirement_contribution_By_bob),0)</f>
        <v>0</v>
      </c>
      <c r="M61" s="4">
        <f>IF(F61=0,(($B$31*G61)+L61),0)</f>
        <v>0</v>
      </c>
      <c r="N61" s="6">
        <f t="shared" ca="1" si="13"/>
        <v>-6349153.021480252</v>
      </c>
      <c r="O61" s="6">
        <f t="shared" ca="1" si="14"/>
        <v>367983.37457161152</v>
      </c>
      <c r="P61" s="6">
        <f ca="1">IF(F61=0,N61+O61,P60+(N61*Retirement_Investment_return)-K61)</f>
        <v>-6128690.7338701971</v>
      </c>
      <c r="Q61" s="20">
        <f t="shared" ca="1" si="9"/>
        <v>1</v>
      </c>
    </row>
    <row r="62" spans="4:17" x14ac:dyDescent="0.3">
      <c r="D62" s="19">
        <v>57</v>
      </c>
      <c r="E62" s="3">
        <f t="shared" si="10"/>
        <v>103</v>
      </c>
      <c r="F62" s="3">
        <f t="shared" si="5"/>
        <v>1</v>
      </c>
      <c r="G62" s="4">
        <f t="shared" si="11"/>
        <v>0</v>
      </c>
      <c r="H62" s="4">
        <f t="shared" si="6"/>
        <v>0</v>
      </c>
      <c r="I62" s="5">
        <f t="shared" si="12"/>
        <v>0</v>
      </c>
      <c r="J62" s="5">
        <f>H62-I62</f>
        <v>0</v>
      </c>
      <c r="K62" s="4">
        <f ca="1">IF(F62=0,((K61*Inflation_Rate)+K61),(Expense_After_retirement_percent*Last_Salary_before_Retirement)*(1+Inflation_Rate)^(D63-MATCH(1,$F$5:$F$36,0)))</f>
        <v>157998.66130158646</v>
      </c>
      <c r="L62" s="4">
        <f>IF(F62=0,IF((J62-K62)&lt;=Retirement_contribution_By_bob,J62-K62,Retirement_contribution_By_bob),0)</f>
        <v>0</v>
      </c>
      <c r="M62" s="4">
        <f>IF(F62=0,(($B$31*G62)+L62),0)</f>
        <v>0</v>
      </c>
      <c r="N62" s="6">
        <f t="shared" ca="1" si="13"/>
        <v>-6832509.2669209307</v>
      </c>
      <c r="O62" s="6">
        <f t="shared" ca="1" si="14"/>
        <v>367983.37457161152</v>
      </c>
      <c r="P62" s="6">
        <f ca="1">IF(F62=0,N62+O62,P61+(N62*Retirement_Investment_return)-K62)</f>
        <v>-6628314.8585178303</v>
      </c>
      <c r="Q62" s="20">
        <f t="shared" ca="1" si="9"/>
        <v>1</v>
      </c>
    </row>
    <row r="63" spans="4:17" x14ac:dyDescent="0.3">
      <c r="D63" s="19">
        <v>58</v>
      </c>
      <c r="E63" s="3">
        <f t="shared" si="10"/>
        <v>104</v>
      </c>
      <c r="F63" s="3">
        <f t="shared" si="5"/>
        <v>1</v>
      </c>
      <c r="G63" s="4">
        <f t="shared" si="11"/>
        <v>0</v>
      </c>
      <c r="H63" s="4">
        <f t="shared" si="6"/>
        <v>0</v>
      </c>
      <c r="I63" s="5">
        <f t="shared" si="12"/>
        <v>0</v>
      </c>
      <c r="J63" s="5">
        <f>H63-I63</f>
        <v>0</v>
      </c>
      <c r="K63" s="4">
        <f ca="1">IF(F63=0,((K62*Inflation_Rate)+K62),(Expense_After_retirement_percent*Last_Salary_before_Retirement)*(1+Inflation_Rate)^(D64-MATCH(1,$F$5:$F$36,0)))</f>
        <v>161158.63452761818</v>
      </c>
      <c r="L63" s="4">
        <f>IF(F63=0,IF((J63-K63)&lt;=Retirement_contribution_By_bob,J63-K63,Retirement_contribution_By_bob),0)</f>
        <v>0</v>
      </c>
      <c r="M63" s="4">
        <f>IF(F63=0,(($B$31*G63)+L63),0)</f>
        <v>0</v>
      </c>
      <c r="N63" s="6">
        <f t="shared" ca="1" si="13"/>
        <v>-7343351.2965209763</v>
      </c>
      <c r="O63" s="6">
        <f t="shared" ca="1" si="14"/>
        <v>367983.37457161152</v>
      </c>
      <c r="P63" s="6">
        <f ca="1">IF(F63=0,N63+O63,P62+(N63*Retirement_Investment_return)-K63)</f>
        <v>-7156641.0578714972</v>
      </c>
      <c r="Q63" s="20">
        <f t="shared" ca="1" si="9"/>
        <v>1</v>
      </c>
    </row>
    <row r="64" spans="4:17" x14ac:dyDescent="0.3">
      <c r="D64" s="19">
        <v>59</v>
      </c>
      <c r="E64" s="3">
        <f t="shared" si="10"/>
        <v>105</v>
      </c>
      <c r="F64" s="3">
        <f t="shared" si="5"/>
        <v>1</v>
      </c>
      <c r="G64" s="4">
        <f t="shared" si="11"/>
        <v>0</v>
      </c>
      <c r="H64" s="4">
        <f t="shared" si="6"/>
        <v>0</v>
      </c>
      <c r="I64" s="5">
        <f t="shared" si="12"/>
        <v>0</v>
      </c>
      <c r="J64" s="5">
        <f>H64-I64</f>
        <v>0</v>
      </c>
      <c r="K64" s="4">
        <f ca="1">IF(F64=0,((K63*Inflation_Rate)+K63),(Expense_After_retirement_percent*Last_Salary_before_Retirement)*(1+Inflation_Rate)^(D65-MATCH(1,$F$5:$F$36,0)))</f>
        <v>164381.80721817049</v>
      </c>
      <c r="L64" s="4">
        <f>IF(F64=0,IF((J64-K64)&lt;=Retirement_contribution_By_bob,J64-K64,Retirement_contribution_By_bob),0)</f>
        <v>0</v>
      </c>
      <c r="M64" s="4">
        <f>IF(F64=0,(($B$31*G64)+L64),0)</f>
        <v>0</v>
      </c>
      <c r="N64" s="6">
        <f t="shared" ca="1" si="13"/>
        <v>-7883119.7589261048</v>
      </c>
      <c r="O64" s="6">
        <f t="shared" ca="1" si="14"/>
        <v>367983.37457161152</v>
      </c>
      <c r="P64" s="6">
        <f ca="1">IF(F64=0,N64+O64,P63+(N64*Retirement_Investment_return)-K64)</f>
        <v>-7715178.8530359734</v>
      </c>
      <c r="Q64" s="20">
        <f t="shared" ca="1" si="9"/>
        <v>1</v>
      </c>
    </row>
    <row r="65" spans="4:17" ht="14.75" thickBot="1" x14ac:dyDescent="0.35">
      <c r="D65" s="23">
        <v>60</v>
      </c>
      <c r="E65" s="24">
        <f t="shared" si="10"/>
        <v>106</v>
      </c>
      <c r="F65" s="24">
        <f t="shared" si="5"/>
        <v>1</v>
      </c>
      <c r="G65" s="25">
        <f t="shared" si="11"/>
        <v>0</v>
      </c>
      <c r="H65" s="25">
        <f t="shared" si="6"/>
        <v>0</v>
      </c>
      <c r="I65" s="26">
        <f t="shared" si="12"/>
        <v>0</v>
      </c>
      <c r="J65" s="26">
        <f>H65-I65</f>
        <v>0</v>
      </c>
      <c r="K65" s="25">
        <f ca="1">IF(F65=0,((K64*Inflation_Rate)+K64),(Expense_After_retirement_percent*Last_Salary_before_Retirement)*(1+Inflation_Rate)^(D66-MATCH(1,$F$5:$F$36,0)))</f>
        <v>50100.659768591984</v>
      </c>
      <c r="L65" s="25">
        <f>IF(F65=0,IF((J65-K65)&lt;=Retirement_contribution_By_bob,J65-K65,Retirement_contribution_By_bob),0)</f>
        <v>0</v>
      </c>
      <c r="M65" s="25">
        <f>IF(F65=0,(($B$31*G65)+L65),0)</f>
        <v>0</v>
      </c>
      <c r="N65" s="27">
        <f t="shared" ca="1" si="13"/>
        <v>-8329881.4396294309</v>
      </c>
      <c r="O65" s="27">
        <f t="shared" ca="1" si="14"/>
        <v>367983.37457161152</v>
      </c>
      <c r="P65" s="27">
        <f ca="1">IF(F65=0,N65+O65,P64+(N65*Retirement_Investment_return)-K65)</f>
        <v>-8181773.584786037</v>
      </c>
      <c r="Q65" s="28">
        <f t="shared" ca="1" si="9"/>
        <v>1</v>
      </c>
    </row>
    <row r="98" spans="9:10" x14ac:dyDescent="0.3">
      <c r="I98" s="1"/>
      <c r="J98" s="1"/>
    </row>
    <row r="65532" spans="252:253" x14ac:dyDescent="0.3">
      <c r="IR65532">
        <v>0</v>
      </c>
      <c r="IS65532">
        <v>0</v>
      </c>
    </row>
  </sheetData>
  <mergeCells count="5">
    <mergeCell ref="D2:Q3"/>
    <mergeCell ref="A5:B5"/>
    <mergeCell ref="A11:B11"/>
    <mergeCell ref="A16:B16"/>
    <mergeCell ref="A19:B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4" baseType="lpstr">
      <vt:lpstr>Sheet1</vt:lpstr>
      <vt:lpstr>Annual_Income_Increase_Rate</vt:lpstr>
      <vt:lpstr>Current_Ful_time_Expense</vt:lpstr>
      <vt:lpstr>Current_Full_time_Expense</vt:lpstr>
      <vt:lpstr>Current_Full_time_income</vt:lpstr>
      <vt:lpstr>Current_Investment_return</vt:lpstr>
      <vt:lpstr>Current_Tax_Rate</vt:lpstr>
      <vt:lpstr>CURRERNT_AGE</vt:lpstr>
      <vt:lpstr>Expense_After_retirement_percent</vt:lpstr>
      <vt:lpstr>Global_Bond_Fund</vt:lpstr>
      <vt:lpstr>Inflation_Rate</vt:lpstr>
      <vt:lpstr>Last_Salary_before_Retirement</vt:lpstr>
      <vt:lpstr>Non_US_equities</vt:lpstr>
      <vt:lpstr>Ret._Adj._Adj_Full_time_Income</vt:lpstr>
      <vt:lpstr>Ret._Adj._Retirement_fund</vt:lpstr>
      <vt:lpstr>Retired_Tax_Rate</vt:lpstr>
      <vt:lpstr>RETIREMENT_AGE_base_Case</vt:lpstr>
      <vt:lpstr>Retirement_contribution_By_bob</vt:lpstr>
      <vt:lpstr>Retirement_Fund_By_school</vt:lpstr>
      <vt:lpstr>Retirement_Investment_return</vt:lpstr>
      <vt:lpstr>Retirement_Year</vt:lpstr>
      <vt:lpstr>TIAA_long_term_bond_Fund</vt:lpstr>
      <vt:lpstr>TOTAL_CURRENT</vt:lpstr>
      <vt:lpstr>US_equities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Sriraman R K</dc:creator>
  <cp:lastModifiedBy>Ankit Borkhataria</cp:lastModifiedBy>
  <dcterms:created xsi:type="dcterms:W3CDTF">2016-11-04T19:02:45Z</dcterms:created>
  <dcterms:modified xsi:type="dcterms:W3CDTF">2016-11-08T03:51:29Z</dcterms:modified>
</cp:coreProperties>
</file>