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SUS\OneDrive\Desktop\Term 4\Finance\MA\"/>
    </mc:Choice>
  </mc:AlternateContent>
  <xr:revisionPtr revIDLastSave="0" documentId="13_ncr:1_{05B5D5A2-20CC-4ED3-8E6E-E3F82DFD50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shable Trousers Costing" sheetId="1" r:id="rId1"/>
    <sheet name="Carg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O2" i="2"/>
  <c r="D3" i="2"/>
  <c r="G3" i="2"/>
  <c r="R3" i="2"/>
  <c r="S3" i="2"/>
  <c r="T3" i="2"/>
  <c r="U3" i="2"/>
  <c r="D4" i="2"/>
  <c r="G4" i="2"/>
  <c r="N4" i="2"/>
  <c r="V3" i="2" s="1"/>
  <c r="V6" i="2" s="1"/>
  <c r="T4" i="2"/>
  <c r="C5" i="2"/>
  <c r="C10" i="2" s="1"/>
  <c r="O22" i="2" s="1"/>
  <c r="K24" i="2" s="1"/>
  <c r="S17" i="2" s="1"/>
  <c r="G5" i="2"/>
  <c r="M17" i="2" s="1"/>
  <c r="L5" i="2"/>
  <c r="R5" i="2"/>
  <c r="S5" i="2"/>
  <c r="U5" i="2"/>
  <c r="V5" i="2"/>
  <c r="B6" i="2"/>
  <c r="C6" i="2"/>
  <c r="D6" i="2"/>
  <c r="G6" i="2"/>
  <c r="R6" i="2"/>
  <c r="S6" i="2"/>
  <c r="S14" i="2" s="1"/>
  <c r="T6" i="2"/>
  <c r="U6" i="2"/>
  <c r="D7" i="2"/>
  <c r="G7" i="2"/>
  <c r="O15" i="2" s="1"/>
  <c r="O21" i="2" s="1"/>
  <c r="L7" i="2"/>
  <c r="D8" i="2"/>
  <c r="L8" i="2"/>
  <c r="T8" i="2" s="1"/>
  <c r="T12" i="2" s="1"/>
  <c r="D9" i="2"/>
  <c r="J9" i="2"/>
  <c r="K9" i="2"/>
  <c r="L9" i="2"/>
  <c r="M9" i="2"/>
  <c r="R9" i="2"/>
  <c r="R12" i="2" s="1"/>
  <c r="S9" i="2"/>
  <c r="S12" i="2" s="1"/>
  <c r="T9" i="2"/>
  <c r="U9" i="2"/>
  <c r="B10" i="2"/>
  <c r="J11" i="2"/>
  <c r="K11" i="2"/>
  <c r="L11" i="2"/>
  <c r="R11" i="2"/>
  <c r="S11" i="2"/>
  <c r="T11" i="2"/>
  <c r="V11" i="2"/>
  <c r="D13" i="2"/>
  <c r="B16" i="2"/>
  <c r="J17" i="2"/>
  <c r="R10" i="2" s="1"/>
  <c r="K17" i="2"/>
  <c r="S10" i="2" s="1"/>
  <c r="L17" i="2"/>
  <c r="T10" i="2" s="1"/>
  <c r="N17" i="2"/>
  <c r="N23" i="2" s="1"/>
  <c r="K23" i="2"/>
  <c r="G2" i="1"/>
  <c r="D3" i="1"/>
  <c r="G3" i="1"/>
  <c r="M3" i="1"/>
  <c r="N3" i="1"/>
  <c r="Q3" i="1"/>
  <c r="Q6" i="1" s="1"/>
  <c r="R3" i="1"/>
  <c r="T3" i="1"/>
  <c r="D4" i="1"/>
  <c r="G4" i="1"/>
  <c r="C5" i="1"/>
  <c r="C10" i="1" s="1"/>
  <c r="D10" i="1" s="1"/>
  <c r="D11" i="1" s="1"/>
  <c r="D5" i="1"/>
  <c r="G5" i="1"/>
  <c r="Q5" i="1"/>
  <c r="R5" i="1"/>
  <c r="T5" i="1"/>
  <c r="C6" i="1"/>
  <c r="D6" i="1" s="1"/>
  <c r="G6" i="1"/>
  <c r="L6" i="1"/>
  <c r="S3" i="1" s="1"/>
  <c r="R6" i="1"/>
  <c r="T6" i="1"/>
  <c r="D7" i="1"/>
  <c r="D8" i="1"/>
  <c r="L8" i="1"/>
  <c r="S4" i="1" s="1"/>
  <c r="S8" i="1"/>
  <c r="D9" i="1"/>
  <c r="L9" i="1"/>
  <c r="T9" i="1"/>
  <c r="B10" i="1"/>
  <c r="J10" i="1"/>
  <c r="Q9" i="1" s="1"/>
  <c r="K10" i="1"/>
  <c r="R9" i="1" s="1"/>
  <c r="L10" i="1"/>
  <c r="S9" i="1" s="1"/>
  <c r="M10" i="1"/>
  <c r="D13" i="1"/>
  <c r="B16" i="1"/>
  <c r="N16" i="1"/>
  <c r="N17" i="1"/>
  <c r="M19" i="1" s="1"/>
  <c r="T15" i="1" s="1"/>
  <c r="J18" i="1"/>
  <c r="J19" i="1" s="1"/>
  <c r="Q15" i="1" s="1"/>
  <c r="K18" i="1"/>
  <c r="K19" i="1" s="1"/>
  <c r="R15" i="1" s="1"/>
  <c r="L18" i="1"/>
  <c r="L24" i="1" s="1"/>
  <c r="L25" i="1" s="1"/>
  <c r="S17" i="1" s="1"/>
  <c r="M18" i="1"/>
  <c r="M24" i="1" s="1"/>
  <c r="M25" i="1" s="1"/>
  <c r="T17" i="1" s="1"/>
  <c r="N22" i="1"/>
  <c r="N23" i="1"/>
  <c r="J24" i="1"/>
  <c r="J25" i="1" s="1"/>
  <c r="Q17" i="1" s="1"/>
  <c r="K24" i="1"/>
  <c r="K25" i="1"/>
  <c r="R17" i="1" s="1"/>
  <c r="T14" i="2" l="1"/>
  <c r="N24" i="2"/>
  <c r="V17" i="2" s="1"/>
  <c r="U10" i="2"/>
  <c r="U12" i="2" s="1"/>
  <c r="M23" i="2"/>
  <c r="M24" i="2" s="1"/>
  <c r="U17" i="2" s="1"/>
  <c r="U11" i="2"/>
  <c r="D10" i="2"/>
  <c r="D11" i="2" s="1"/>
  <c r="S16" i="2"/>
  <c r="S18" i="2" s="1"/>
  <c r="S20" i="2" s="1"/>
  <c r="R23" i="2"/>
  <c r="R14" i="2"/>
  <c r="S23" i="2"/>
  <c r="N9" i="2"/>
  <c r="V9" i="2" s="1"/>
  <c r="V12" i="2" s="1"/>
  <c r="V23" i="2" s="1"/>
  <c r="D5" i="2"/>
  <c r="V10" i="2"/>
  <c r="L23" i="2"/>
  <c r="L24" i="2" s="1"/>
  <c r="T17" i="2" s="1"/>
  <c r="J23" i="2"/>
  <c r="J24" i="2" s="1"/>
  <c r="R17" i="2" s="1"/>
  <c r="O16" i="2"/>
  <c r="K18" i="2" s="1"/>
  <c r="S15" i="2" s="1"/>
  <c r="T23" i="2"/>
  <c r="S6" i="1"/>
  <c r="T10" i="1"/>
  <c r="S10" i="1"/>
  <c r="S11" i="1" s="1"/>
  <c r="R10" i="1"/>
  <c r="R11" i="1" s="1"/>
  <c r="Q10" i="1"/>
  <c r="Q11" i="1" s="1"/>
  <c r="L19" i="1"/>
  <c r="S15" i="1" s="1"/>
  <c r="U23" i="2" l="1"/>
  <c r="U14" i="2"/>
  <c r="U16" i="2" s="1"/>
  <c r="U18" i="2" s="1"/>
  <c r="U20" i="2" s="1"/>
  <c r="V14" i="2"/>
  <c r="V16" i="2" s="1"/>
  <c r="V18" i="2" s="1"/>
  <c r="V20" i="2" s="1"/>
  <c r="L18" i="2"/>
  <c r="T15" i="2" s="1"/>
  <c r="T16" i="2" s="1"/>
  <c r="T18" i="2" s="1"/>
  <c r="T20" i="2" s="1"/>
  <c r="J18" i="2"/>
  <c r="R15" i="2" s="1"/>
  <c r="R16" i="2" s="1"/>
  <c r="R18" i="2" s="1"/>
  <c r="R20" i="2" s="1"/>
  <c r="M18" i="2"/>
  <c r="U15" i="2" s="1"/>
  <c r="N18" i="2"/>
  <c r="V15" i="2" s="1"/>
  <c r="T11" i="1"/>
  <c r="T12" i="1"/>
  <c r="Q12" i="1"/>
  <c r="S12" i="1"/>
  <c r="S24" i="1" s="1"/>
  <c r="R12" i="1"/>
  <c r="R14" i="1" l="1"/>
  <c r="R16" i="1" s="1"/>
  <c r="R18" i="1" s="1"/>
  <c r="R20" i="1" s="1"/>
  <c r="R24" i="1"/>
  <c r="Q24" i="1"/>
  <c r="Q14" i="1"/>
  <c r="Q16" i="1" s="1"/>
  <c r="Q18" i="1" s="1"/>
  <c r="Q20" i="1" s="1"/>
  <c r="S14" i="1"/>
  <c r="S16" i="1" s="1"/>
  <c r="S18" i="1" s="1"/>
  <c r="S20" i="1" s="1"/>
  <c r="T24" i="1"/>
  <c r="T14" i="1"/>
  <c r="T16" i="1" s="1"/>
  <c r="T18" i="1" s="1"/>
  <c r="T20" i="1" s="1"/>
</calcChain>
</file>

<file path=xl/sharedStrings.xml><?xml version="1.0" encoding="utf-8"?>
<sst xmlns="http://schemas.openxmlformats.org/spreadsheetml/2006/main" count="151" uniqueCount="66">
  <si>
    <t>Admin OH per unit</t>
  </si>
  <si>
    <t>Marginal Cost</t>
  </si>
  <si>
    <t>Sew hr per units</t>
  </si>
  <si>
    <t>W.T</t>
  </si>
  <si>
    <t>T-Shirts</t>
  </si>
  <si>
    <t>Boxers</t>
  </si>
  <si>
    <t>Coveralls</t>
  </si>
  <si>
    <t>Admin OH Absorption rate</t>
  </si>
  <si>
    <t>Annual Sew hours</t>
  </si>
  <si>
    <t>Selling Price</t>
  </si>
  <si>
    <t>Factory OH per unit</t>
  </si>
  <si>
    <t>Full Cost</t>
  </si>
  <si>
    <t>Factory OH Absorption rate</t>
  </si>
  <si>
    <t xml:space="preserve">SALES </t>
  </si>
  <si>
    <t>Production Cost</t>
  </si>
  <si>
    <t>Direct in cogs</t>
  </si>
  <si>
    <t>COGS</t>
  </si>
  <si>
    <t>Direct Cost</t>
  </si>
  <si>
    <t>Computation of OH Absorption rate</t>
  </si>
  <si>
    <t>Profit Margin</t>
  </si>
  <si>
    <t>Labour Cost</t>
  </si>
  <si>
    <t>Package (units per 8hrs)</t>
  </si>
  <si>
    <t>NET INCOME</t>
  </si>
  <si>
    <t>Labour: Package @$15 phr</t>
  </si>
  <si>
    <t>Sew (units per 8hrs)</t>
  </si>
  <si>
    <t>Full Costs</t>
  </si>
  <si>
    <t>Labour: Sew @$15 phr</t>
  </si>
  <si>
    <t>Cut (8hrs - 4500 m)</t>
  </si>
  <si>
    <t>TOTAL OH COSTS</t>
  </si>
  <si>
    <t>Labour: Cut @$15 phr</t>
  </si>
  <si>
    <t>Knit (8hrs - 4000 m)</t>
  </si>
  <si>
    <t>Miscelleneous</t>
  </si>
  <si>
    <t>Labour: Knit @$20 phr</t>
  </si>
  <si>
    <t>Dye ($1.15 per metre)</t>
  </si>
  <si>
    <t>Master Salary</t>
  </si>
  <si>
    <t>Velcro / Elastic (per unit)</t>
  </si>
  <si>
    <t>Phone and net</t>
  </si>
  <si>
    <t>Material Cost</t>
  </si>
  <si>
    <t>Cost per metre</t>
  </si>
  <si>
    <t>Sew hours in month</t>
  </si>
  <si>
    <t>Utilities</t>
  </si>
  <si>
    <t>Material : Velcro / Elastic</t>
  </si>
  <si>
    <t>Fabric per unit (metres)</t>
  </si>
  <si>
    <t>Washable trousers</t>
  </si>
  <si>
    <t>Rent</t>
  </si>
  <si>
    <t>Material : Dye</t>
  </si>
  <si>
    <t>Maintenance</t>
  </si>
  <si>
    <t>Material : Fabric</t>
  </si>
  <si>
    <t>Units pm (Current)</t>
  </si>
  <si>
    <t>Direct Costs</t>
  </si>
  <si>
    <t>TOTAL</t>
  </si>
  <si>
    <t>Admin related</t>
  </si>
  <si>
    <t>Production related</t>
  </si>
  <si>
    <t>WT</t>
  </si>
  <si>
    <t>Estimate of cost per unit</t>
  </si>
  <si>
    <t>Total</t>
  </si>
  <si>
    <t>ALL Monthly Data</t>
  </si>
  <si>
    <t>Monthly Sewing Hours</t>
  </si>
  <si>
    <t>OH COSTS (Annual)</t>
  </si>
  <si>
    <t>#Marginal costs for all the products</t>
  </si>
  <si>
    <t>Cargo Shorts</t>
  </si>
  <si>
    <t>Cargo Pants</t>
  </si>
  <si>
    <t>Cargo shorts</t>
  </si>
  <si>
    <t>CARGO PANTS</t>
  </si>
  <si>
    <t>Cargo Pant</t>
  </si>
  <si>
    <t>ALL monthly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</si>
</sst>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0" fontId="2" fillId="0" borderId="0" xfId="0" applyFont="1"/>
    <xf numFmtId="0" fontId="0" fillId="3" borderId="1" xfId="0" applyFill="1" applyBorder="1"/>
    <xf numFmtId="0" fontId="2" fillId="3" borderId="1" xfId="0" applyFont="1" applyFill="1" applyBorder="1"/>
    <xf numFmtId="164" fontId="0" fillId="0" borderId="1" xfId="0" applyNumberFormat="1" applyBorder="1"/>
    <xf numFmtId="0" fontId="2" fillId="4" borderId="1" xfId="0" applyFont="1" applyFill="1" applyBorder="1"/>
    <xf numFmtId="10" fontId="0" fillId="0" borderId="1" xfId="1" applyNumberFormat="1" applyFont="1" applyBorder="1"/>
    <xf numFmtId="0" fontId="2" fillId="3" borderId="1" xfId="0" applyFont="1" applyFill="1" applyBorder="1" applyAlignment="1">
      <alignment horizontal="right"/>
    </xf>
    <xf numFmtId="2" fontId="0" fillId="3" borderId="1" xfId="0" applyNumberFormat="1" applyFill="1" applyBorder="1"/>
    <xf numFmtId="0" fontId="0" fillId="5" borderId="1" xfId="0" applyFill="1" applyBorder="1"/>
    <xf numFmtId="165" fontId="0" fillId="3" borderId="1" xfId="0" applyNumberFormat="1" applyFill="1" applyBorder="1"/>
    <xf numFmtId="1" fontId="0" fillId="0" borderId="1" xfId="0" applyNumberFormat="1" applyBorder="1"/>
    <xf numFmtId="0" fontId="0" fillId="4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3" fillId="0" borderId="1" xfId="0" applyFont="1" applyBorder="1"/>
    <xf numFmtId="1" fontId="3" fillId="0" borderId="1" xfId="0" applyNumberFormat="1" applyFont="1" applyBorder="1"/>
    <xf numFmtId="0" fontId="0" fillId="6" borderId="1" xfId="0" applyFill="1" applyBorder="1"/>
    <xf numFmtId="0" fontId="2" fillId="6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workbookViewId="0">
      <selection activeCell="D27" sqref="D27"/>
    </sheetView>
  </sheetViews>
  <sheetFormatPr defaultRowHeight="14.4" x14ac:dyDescent="0.3"/>
  <cols>
    <col min="1" max="1" width="17.21875" bestFit="1" customWidth="1"/>
    <col min="2" max="2" width="16.5546875" bestFit="1" customWidth="1"/>
    <col min="3" max="3" width="12.77734375" bestFit="1" customWidth="1"/>
    <col min="6" max="6" width="18.6640625" bestFit="1" customWidth="1"/>
    <col min="9" max="9" width="30.44140625" bestFit="1" customWidth="1"/>
    <col min="16" max="16" width="22.6640625" bestFit="1" customWidth="1"/>
  </cols>
  <sheetData>
    <row r="1" spans="1:20" x14ac:dyDescent="0.3">
      <c r="A1" s="11" t="s">
        <v>58</v>
      </c>
      <c r="B1" s="1"/>
      <c r="C1" s="1"/>
      <c r="D1" s="1"/>
      <c r="F1" s="9" t="s">
        <v>57</v>
      </c>
      <c r="G1" s="8"/>
      <c r="I1" s="11" t="s">
        <v>56</v>
      </c>
      <c r="J1" s="3" t="s">
        <v>6</v>
      </c>
      <c r="K1" s="3" t="s">
        <v>5</v>
      </c>
      <c r="L1" s="3" t="s">
        <v>4</v>
      </c>
      <c r="M1" s="3" t="s">
        <v>53</v>
      </c>
      <c r="N1" s="3" t="s">
        <v>55</v>
      </c>
      <c r="P1" s="9" t="s">
        <v>54</v>
      </c>
      <c r="Q1" s="9" t="s">
        <v>6</v>
      </c>
      <c r="R1" s="9" t="s">
        <v>5</v>
      </c>
      <c r="S1" s="9" t="s">
        <v>4</v>
      </c>
      <c r="T1" s="9" t="s">
        <v>53</v>
      </c>
    </row>
    <row r="2" spans="1:20" x14ac:dyDescent="0.3">
      <c r="A2" s="1"/>
      <c r="B2" s="3" t="s">
        <v>52</v>
      </c>
      <c r="C2" s="3" t="s">
        <v>51</v>
      </c>
      <c r="D2" s="3" t="s">
        <v>50</v>
      </c>
      <c r="F2" s="1" t="s">
        <v>6</v>
      </c>
      <c r="G2" s="17">
        <f>(2000/21)*8</f>
        <v>761.90476190476193</v>
      </c>
      <c r="I2" s="1"/>
      <c r="J2" s="1"/>
      <c r="K2" s="1"/>
      <c r="L2" s="1"/>
      <c r="M2" s="1"/>
      <c r="N2" s="1"/>
      <c r="P2" s="8"/>
      <c r="Q2" s="8"/>
      <c r="R2" s="8"/>
      <c r="S2" s="8"/>
      <c r="T2" s="8"/>
    </row>
    <row r="3" spans="1:20" x14ac:dyDescent="0.3">
      <c r="A3" s="1" t="s">
        <v>49</v>
      </c>
      <c r="B3" s="1">
        <v>885400</v>
      </c>
      <c r="C3" s="1"/>
      <c r="D3" s="1">
        <f>SUM(B3:C3)</f>
        <v>885400</v>
      </c>
      <c r="F3" s="1" t="s">
        <v>5</v>
      </c>
      <c r="G3" s="17">
        <f>(5000/96)*8</f>
        <v>416.66666666666669</v>
      </c>
      <c r="I3" s="1" t="s">
        <v>48</v>
      </c>
      <c r="J3" s="1">
        <v>2000</v>
      </c>
      <c r="K3" s="1">
        <v>5000</v>
      </c>
      <c r="L3" s="1">
        <v>3000</v>
      </c>
      <c r="M3" s="17">
        <f>28450/12</f>
        <v>2370.8333333333335</v>
      </c>
      <c r="N3" s="17">
        <f>SUM(J3:M3)</f>
        <v>12370.833333333334</v>
      </c>
      <c r="P3" s="8" t="s">
        <v>47</v>
      </c>
      <c r="Q3" s="8">
        <f>J5*J6</f>
        <v>8.1000000000000014</v>
      </c>
      <c r="R3" s="14">
        <f>K5*K6</f>
        <v>1.0640000000000001</v>
      </c>
      <c r="S3" s="14">
        <f>L5*L6</f>
        <v>1.0714285714285714</v>
      </c>
      <c r="T3" s="8">
        <f>M5*M6</f>
        <v>4.6500000000000004</v>
      </c>
    </row>
    <row r="4" spans="1:20" x14ac:dyDescent="0.3">
      <c r="A4" s="1" t="s">
        <v>46</v>
      </c>
      <c r="B4" s="1">
        <v>2000</v>
      </c>
      <c r="C4" s="1"/>
      <c r="D4" s="1">
        <f>SUM(B4:C4)</f>
        <v>2000</v>
      </c>
      <c r="F4" s="1" t="s">
        <v>4</v>
      </c>
      <c r="G4" s="17">
        <f>(3000/140)*8</f>
        <v>171.42857142857142</v>
      </c>
      <c r="I4" s="1"/>
      <c r="J4" s="1"/>
      <c r="K4" s="1"/>
      <c r="L4" s="1"/>
      <c r="M4" s="1"/>
      <c r="N4" s="1"/>
      <c r="P4" s="8" t="s">
        <v>45</v>
      </c>
      <c r="Q4" s="8"/>
      <c r="R4" s="8"/>
      <c r="S4" s="8">
        <f>L8</f>
        <v>1.2649999999999999</v>
      </c>
      <c r="T4" s="8"/>
    </row>
    <row r="5" spans="1:20" x14ac:dyDescent="0.3">
      <c r="A5" s="1" t="s">
        <v>44</v>
      </c>
      <c r="B5" s="1">
        <v>45120</v>
      </c>
      <c r="C5" s="1">
        <f>56400-B5</f>
        <v>11280</v>
      </c>
      <c r="D5" s="1">
        <f>SUM(B5:C5)</f>
        <v>56400</v>
      </c>
      <c r="F5" s="1" t="s">
        <v>43</v>
      </c>
      <c r="G5" s="17">
        <f>(M3/M11)*8</f>
        <v>541.90476190476193</v>
      </c>
      <c r="I5" s="1" t="s">
        <v>42</v>
      </c>
      <c r="J5" s="1">
        <v>3</v>
      </c>
      <c r="K5" s="1">
        <v>1.1200000000000001</v>
      </c>
      <c r="L5" s="1">
        <v>1.1000000000000001</v>
      </c>
      <c r="M5" s="1">
        <v>1.5</v>
      </c>
      <c r="N5" s="1"/>
      <c r="P5" s="8" t="s">
        <v>41</v>
      </c>
      <c r="Q5" s="8">
        <f>J7</f>
        <v>0.25</v>
      </c>
      <c r="R5" s="8">
        <f>K7</f>
        <v>0.09</v>
      </c>
      <c r="S5" s="8"/>
      <c r="T5" s="8">
        <f>M7</f>
        <v>0.45</v>
      </c>
    </row>
    <row r="6" spans="1:20" x14ac:dyDescent="0.3">
      <c r="A6" s="1" t="s">
        <v>40</v>
      </c>
      <c r="B6" s="1">
        <v>12480</v>
      </c>
      <c r="C6" s="1">
        <f>15600-B6</f>
        <v>3120</v>
      </c>
      <c r="D6" s="1">
        <f>SUM(B6:C6)</f>
        <v>15600</v>
      </c>
      <c r="F6" s="1" t="s">
        <v>39</v>
      </c>
      <c r="G6" s="17">
        <f>(1320*12)+(542*12)</f>
        <v>22344</v>
      </c>
      <c r="I6" s="1" t="s">
        <v>38</v>
      </c>
      <c r="J6" s="1">
        <v>2.7</v>
      </c>
      <c r="K6" s="1">
        <v>0.95</v>
      </c>
      <c r="L6" s="10">
        <f>3.75/3.85</f>
        <v>0.97402597402597402</v>
      </c>
      <c r="M6" s="19">
        <v>3.1</v>
      </c>
      <c r="N6" s="1"/>
      <c r="P6" s="13" t="s">
        <v>37</v>
      </c>
      <c r="Q6" s="9">
        <f>SUM(Q3:Q5)</f>
        <v>8.3500000000000014</v>
      </c>
      <c r="R6" s="9">
        <f>SUM(R3:R5)</f>
        <v>1.1540000000000001</v>
      </c>
      <c r="S6" s="9">
        <f>SUM(S3:S5)</f>
        <v>2.3364285714285713</v>
      </c>
      <c r="T6" s="9">
        <f>SUM(T3:T5)</f>
        <v>5.1000000000000005</v>
      </c>
    </row>
    <row r="7" spans="1:20" x14ac:dyDescent="0.3">
      <c r="A7" s="1" t="s">
        <v>36</v>
      </c>
      <c r="B7" s="1"/>
      <c r="C7" s="1">
        <v>1800</v>
      </c>
      <c r="D7" s="1">
        <f>SUM(B7:C7)</f>
        <v>1800</v>
      </c>
      <c r="F7" s="1"/>
      <c r="G7" s="1"/>
      <c r="I7" s="1" t="s">
        <v>35</v>
      </c>
      <c r="J7" s="1">
        <v>0.25</v>
      </c>
      <c r="K7" s="1">
        <v>0.09</v>
      </c>
      <c r="L7" s="1"/>
      <c r="M7" s="1">
        <v>0.45</v>
      </c>
      <c r="N7" s="1"/>
      <c r="P7" s="8"/>
      <c r="Q7" s="8"/>
      <c r="R7" s="8"/>
      <c r="S7" s="8"/>
      <c r="T7" s="8"/>
    </row>
    <row r="8" spans="1:20" x14ac:dyDescent="0.3">
      <c r="A8" s="1" t="s">
        <v>34</v>
      </c>
      <c r="B8" s="1"/>
      <c r="C8" s="1">
        <v>60000</v>
      </c>
      <c r="D8" s="1">
        <f>SUM(B8:C8)</f>
        <v>60000</v>
      </c>
      <c r="F8" s="18"/>
      <c r="G8" s="18"/>
      <c r="I8" s="1" t="s">
        <v>33</v>
      </c>
      <c r="J8" s="1"/>
      <c r="K8" s="1"/>
      <c r="L8" s="1">
        <f>1.15*1.1</f>
        <v>1.2649999999999999</v>
      </c>
      <c r="M8" s="1"/>
      <c r="N8" s="1"/>
      <c r="P8" s="8" t="s">
        <v>32</v>
      </c>
      <c r="Q8" s="8"/>
      <c r="R8" s="8"/>
      <c r="S8" s="8">
        <f>(8/L9)*20</f>
        <v>4.4000000000000004E-2</v>
      </c>
      <c r="T8" s="8"/>
    </row>
    <row r="9" spans="1:20" x14ac:dyDescent="0.3">
      <c r="A9" s="1" t="s">
        <v>31</v>
      </c>
      <c r="B9" s="1"/>
      <c r="C9" s="1">
        <v>18600</v>
      </c>
      <c r="D9" s="1">
        <f>SUM(B9:C9)</f>
        <v>18600</v>
      </c>
      <c r="I9" s="1" t="s">
        <v>30</v>
      </c>
      <c r="J9" s="1"/>
      <c r="K9" s="1"/>
      <c r="L9" s="17">
        <f>4000/L5</f>
        <v>3636.363636363636</v>
      </c>
      <c r="M9" s="1"/>
      <c r="N9" s="1"/>
      <c r="P9" s="8" t="s">
        <v>29</v>
      </c>
      <c r="Q9" s="8">
        <f>(8/J10)*15</f>
        <v>0.08</v>
      </c>
      <c r="R9" s="16">
        <f>(8/K10)*15</f>
        <v>2.9866666666666666E-2</v>
      </c>
      <c r="S9" s="16">
        <f>(8/L10)*15</f>
        <v>2.9333333333333336E-2</v>
      </c>
      <c r="T9" s="8">
        <f>(8/M10)*15</f>
        <v>0.04</v>
      </c>
    </row>
    <row r="10" spans="1:20" x14ac:dyDescent="0.3">
      <c r="A10" s="1" t="s">
        <v>28</v>
      </c>
      <c r="B10" s="1">
        <f>SUM(B4:B9)</f>
        <v>59600</v>
      </c>
      <c r="C10" s="1">
        <f>SUM(C4:C9)</f>
        <v>94800</v>
      </c>
      <c r="D10" s="1">
        <f>SUM(B10:C10)</f>
        <v>154400</v>
      </c>
      <c r="I10" s="1" t="s">
        <v>27</v>
      </c>
      <c r="J10" s="1">
        <f>4500/J5</f>
        <v>1500</v>
      </c>
      <c r="K10" s="1">
        <f>4500/K5</f>
        <v>4017.8571428571427</v>
      </c>
      <c r="L10" s="1">
        <f>4500/L5</f>
        <v>4090.9090909090905</v>
      </c>
      <c r="M10" s="1">
        <f>4500/M5</f>
        <v>3000</v>
      </c>
      <c r="N10" s="1"/>
      <c r="P10" s="8" t="s">
        <v>26</v>
      </c>
      <c r="Q10" s="14">
        <f>15*J18</f>
        <v>5.7142857142857144</v>
      </c>
      <c r="R10" s="14">
        <f>15*K18</f>
        <v>1.2500000000000002</v>
      </c>
      <c r="S10" s="14">
        <f>15*L18</f>
        <v>0.8571428571428571</v>
      </c>
      <c r="T10" s="14">
        <f>15*M18</f>
        <v>3.4285714285714284</v>
      </c>
    </row>
    <row r="11" spans="1:20" x14ac:dyDescent="0.3">
      <c r="A11" s="1" t="s">
        <v>25</v>
      </c>
      <c r="B11" s="1"/>
      <c r="C11" s="1"/>
      <c r="D11" s="1">
        <f>D10+D3</f>
        <v>1039800</v>
      </c>
      <c r="I11" s="15" t="s">
        <v>24</v>
      </c>
      <c r="J11" s="1">
        <v>21</v>
      </c>
      <c r="K11" s="1">
        <v>96</v>
      </c>
      <c r="L11" s="1">
        <v>140</v>
      </c>
      <c r="M11" s="1">
        <v>35</v>
      </c>
      <c r="N11" s="1"/>
      <c r="P11" s="8" t="s">
        <v>23</v>
      </c>
      <c r="Q11" s="14">
        <f>Q10</f>
        <v>5.7142857142857144</v>
      </c>
      <c r="R11" s="14">
        <f>R10</f>
        <v>1.2500000000000002</v>
      </c>
      <c r="S11" s="14">
        <f>S10</f>
        <v>0.8571428571428571</v>
      </c>
      <c r="T11" s="14">
        <f>T10</f>
        <v>3.4285714285714284</v>
      </c>
    </row>
    <row r="12" spans="1:20" x14ac:dyDescent="0.3">
      <c r="A12" s="1" t="s">
        <v>22</v>
      </c>
      <c r="B12" s="1"/>
      <c r="C12" s="1"/>
      <c r="D12" s="1">
        <v>310200</v>
      </c>
      <c r="I12" s="1" t="s">
        <v>21</v>
      </c>
      <c r="J12" s="1">
        <v>21</v>
      </c>
      <c r="K12" s="1">
        <v>96</v>
      </c>
      <c r="L12" s="1">
        <v>140</v>
      </c>
      <c r="M12" s="1">
        <v>35</v>
      </c>
      <c r="N12" s="1"/>
      <c r="P12" s="13" t="s">
        <v>20</v>
      </c>
      <c r="Q12" s="9">
        <f>SUM(Q8:Q11)</f>
        <v>11.508571428571429</v>
      </c>
      <c r="R12" s="9">
        <f>SUM(R8:R11)</f>
        <v>2.5298666666666669</v>
      </c>
      <c r="S12" s="9">
        <f>SUM(S8:S11)</f>
        <v>1.7876190476190477</v>
      </c>
      <c r="T12" s="9">
        <f>SUM(T8:T11)</f>
        <v>6.8971428571428568</v>
      </c>
    </row>
    <row r="13" spans="1:20" x14ac:dyDescent="0.3">
      <c r="A13" s="1" t="s">
        <v>19</v>
      </c>
      <c r="B13" s="1"/>
      <c r="C13" s="1"/>
      <c r="D13" s="12">
        <f>D12/B17</f>
        <v>0.22977777777777778</v>
      </c>
      <c r="P13" s="8"/>
      <c r="Q13" s="8"/>
      <c r="R13" s="8"/>
      <c r="S13" s="8"/>
      <c r="T13" s="8"/>
    </row>
    <row r="14" spans="1:20" x14ac:dyDescent="0.3">
      <c r="I14" s="11" t="s">
        <v>18</v>
      </c>
      <c r="J14" s="1"/>
      <c r="K14" s="1"/>
      <c r="L14" s="1"/>
      <c r="M14" s="1"/>
      <c r="N14" s="1"/>
      <c r="P14" s="9" t="s">
        <v>17</v>
      </c>
      <c r="Q14" s="8">
        <f>Q6+Q12</f>
        <v>19.85857142857143</v>
      </c>
      <c r="R14" s="8">
        <f>R6+R12</f>
        <v>3.6838666666666668</v>
      </c>
      <c r="S14" s="8">
        <f>S6+S12</f>
        <v>4.1240476190476194</v>
      </c>
      <c r="T14" s="8">
        <f>T6+T12</f>
        <v>11.997142857142858</v>
      </c>
    </row>
    <row r="15" spans="1:20" x14ac:dyDescent="0.3">
      <c r="A15" s="1" t="s">
        <v>16</v>
      </c>
      <c r="B15" s="1">
        <v>945000</v>
      </c>
      <c r="I15" s="1"/>
      <c r="J15" s="1"/>
      <c r="K15" s="1"/>
      <c r="L15" s="1"/>
      <c r="M15" s="1"/>
      <c r="N15" s="1"/>
      <c r="P15" s="8" t="s">
        <v>10</v>
      </c>
      <c r="Q15" s="8">
        <f>J19</f>
        <v>1.0161458066936049</v>
      </c>
      <c r="R15" s="8">
        <f>K19</f>
        <v>0.22228189521422606</v>
      </c>
      <c r="S15" s="8">
        <f>L19</f>
        <v>0.1524218710040407</v>
      </c>
      <c r="T15" s="8">
        <f>M19</f>
        <v>0.6096874840161628</v>
      </c>
    </row>
    <row r="16" spans="1:20" x14ac:dyDescent="0.3">
      <c r="A16" s="1" t="s">
        <v>15</v>
      </c>
      <c r="B16" s="1">
        <f>B15-59600</f>
        <v>885400</v>
      </c>
      <c r="I16" s="1" t="s">
        <v>8</v>
      </c>
      <c r="J16" s="1"/>
      <c r="K16" s="1"/>
      <c r="L16" s="1"/>
      <c r="M16" s="1"/>
      <c r="N16" s="1">
        <f>(1320*12)+(542*12)</f>
        <v>22344</v>
      </c>
      <c r="P16" s="9" t="s">
        <v>14</v>
      </c>
      <c r="Q16" s="9">
        <f>SUM(Q14:Q15)</f>
        <v>20.874717235265035</v>
      </c>
      <c r="R16" s="9">
        <f>SUM(R14:R15)</f>
        <v>3.9061485618808929</v>
      </c>
      <c r="S16" s="9">
        <f>SUM(S14:S15)</f>
        <v>4.2764694900516602</v>
      </c>
      <c r="T16" s="9">
        <f>SUM(T14:T15)</f>
        <v>12.606830341159021</v>
      </c>
    </row>
    <row r="17" spans="1:20" x14ac:dyDescent="0.3">
      <c r="A17" s="1" t="s">
        <v>13</v>
      </c>
      <c r="B17" s="1">
        <v>1350000</v>
      </c>
      <c r="I17" s="1" t="s">
        <v>12</v>
      </c>
      <c r="J17" s="1"/>
      <c r="K17" s="1"/>
      <c r="L17" s="1"/>
      <c r="M17" s="1"/>
      <c r="N17" s="10">
        <f>59600/N16</f>
        <v>2.6673827425707124</v>
      </c>
      <c r="P17" s="8" t="s">
        <v>0</v>
      </c>
      <c r="Q17" s="8">
        <f>J25</f>
        <v>1.6162856119891567</v>
      </c>
      <c r="R17" s="8">
        <f>K25</f>
        <v>0.35356247762262799</v>
      </c>
      <c r="S17" s="8">
        <f>L25</f>
        <v>0.24244284179837347</v>
      </c>
      <c r="T17" s="8">
        <f>M25</f>
        <v>0.96977136719349388</v>
      </c>
    </row>
    <row r="18" spans="1:20" x14ac:dyDescent="0.3">
      <c r="I18" s="1" t="s">
        <v>2</v>
      </c>
      <c r="J18" s="6">
        <f>G2/J3</f>
        <v>0.38095238095238099</v>
      </c>
      <c r="K18" s="6">
        <f>G3/K3</f>
        <v>8.3333333333333343E-2</v>
      </c>
      <c r="L18" s="6">
        <f>G4/L3</f>
        <v>5.7142857142857141E-2</v>
      </c>
      <c r="M18" s="6">
        <f>G5/M3</f>
        <v>0.22857142857142856</v>
      </c>
      <c r="N18" s="1"/>
      <c r="P18" s="9" t="s">
        <v>11</v>
      </c>
      <c r="Q18" s="9">
        <f>Q16+Q17</f>
        <v>22.49100284725419</v>
      </c>
      <c r="R18" s="9">
        <f>R16+R17</f>
        <v>4.2597110395035207</v>
      </c>
      <c r="S18" s="9">
        <f>S16+S17</f>
        <v>4.5189123318500339</v>
      </c>
      <c r="T18" s="9">
        <f>T16+T17</f>
        <v>13.576601708352515</v>
      </c>
    </row>
    <row r="19" spans="1:20" x14ac:dyDescent="0.3">
      <c r="I19" s="3" t="s">
        <v>10</v>
      </c>
      <c r="J19" s="2">
        <f>J18*$N$17</f>
        <v>1.0161458066936049</v>
      </c>
      <c r="K19" s="2">
        <f>K18*$N$17</f>
        <v>0.22228189521422606</v>
      </c>
      <c r="L19" s="2">
        <f>L18*$N$17</f>
        <v>0.1524218710040407</v>
      </c>
      <c r="M19" s="2">
        <f>M18*$N$17</f>
        <v>0.6096874840161628</v>
      </c>
      <c r="N19" s="1"/>
      <c r="P19" s="8"/>
      <c r="Q19" s="8"/>
      <c r="R19" s="8"/>
      <c r="S19" s="8"/>
      <c r="T19" s="8"/>
    </row>
    <row r="20" spans="1:20" x14ac:dyDescent="0.3">
      <c r="I20" s="1"/>
      <c r="J20" s="1"/>
      <c r="K20" s="1"/>
      <c r="L20" s="1"/>
      <c r="M20" s="1"/>
      <c r="N20" s="1"/>
      <c r="P20" s="9" t="s">
        <v>9</v>
      </c>
      <c r="Q20" s="8">
        <f>1.2298*Q18</f>
        <v>27.659435301553202</v>
      </c>
      <c r="R20" s="8">
        <f>1.2298*R18</f>
        <v>5.2385926363814299</v>
      </c>
      <c r="S20" s="8">
        <f>1.2298*S18</f>
        <v>5.557358385709172</v>
      </c>
      <c r="T20" s="8">
        <f>1.2298*T18</f>
        <v>16.696504780931921</v>
      </c>
    </row>
    <row r="21" spans="1:20" x14ac:dyDescent="0.3">
      <c r="I21" s="1"/>
      <c r="J21" s="1"/>
      <c r="K21" s="1"/>
      <c r="L21" s="1"/>
      <c r="M21" s="1"/>
      <c r="N21" s="1"/>
    </row>
    <row r="22" spans="1:20" x14ac:dyDescent="0.3">
      <c r="I22" s="1" t="s">
        <v>8</v>
      </c>
      <c r="J22" s="1"/>
      <c r="K22" s="1"/>
      <c r="L22" s="1"/>
      <c r="M22" s="1"/>
      <c r="N22" s="1">
        <f>N16</f>
        <v>22344</v>
      </c>
    </row>
    <row r="23" spans="1:20" x14ac:dyDescent="0.3">
      <c r="I23" s="1" t="s">
        <v>7</v>
      </c>
      <c r="J23" s="1"/>
      <c r="K23" s="1"/>
      <c r="L23" s="1"/>
      <c r="M23" s="1"/>
      <c r="N23" s="1">
        <f>94800/N22</f>
        <v>4.2427497314715357</v>
      </c>
      <c r="Q23" s="7" t="s">
        <v>6</v>
      </c>
      <c r="R23" s="7" t="s">
        <v>5</v>
      </c>
      <c r="S23" s="7" t="s">
        <v>4</v>
      </c>
      <c r="T23" s="7" t="s">
        <v>3</v>
      </c>
    </row>
    <row r="24" spans="1:20" x14ac:dyDescent="0.3">
      <c r="I24" s="1" t="s">
        <v>2</v>
      </c>
      <c r="J24" s="6">
        <f>J18</f>
        <v>0.38095238095238099</v>
      </c>
      <c r="K24" s="6">
        <f>K18</f>
        <v>8.3333333333333343E-2</v>
      </c>
      <c r="L24" s="6">
        <f>L18</f>
        <v>5.7142857142857141E-2</v>
      </c>
      <c r="M24" s="6">
        <f>M18</f>
        <v>0.22857142857142856</v>
      </c>
      <c r="N24" s="1"/>
      <c r="P24" s="5" t="s">
        <v>1</v>
      </c>
      <c r="Q24" s="4">
        <f>Q6+Q12</f>
        <v>19.85857142857143</v>
      </c>
      <c r="R24" s="4">
        <f>R6+R12</f>
        <v>3.6838666666666668</v>
      </c>
      <c r="S24" s="4">
        <f>S6+S12</f>
        <v>4.1240476190476194</v>
      </c>
      <c r="T24" s="4">
        <f>T6+T12</f>
        <v>11.997142857142858</v>
      </c>
    </row>
    <row r="25" spans="1:20" x14ac:dyDescent="0.3">
      <c r="I25" s="3" t="s">
        <v>0</v>
      </c>
      <c r="J25" s="2">
        <f>J24*$N$23</f>
        <v>1.6162856119891567</v>
      </c>
      <c r="K25" s="2">
        <f>K24*$N$23</f>
        <v>0.35356247762262799</v>
      </c>
      <c r="L25" s="2">
        <f>L24*$N$23</f>
        <v>0.24244284179837347</v>
      </c>
      <c r="M25" s="2">
        <f>M24*$N$23</f>
        <v>0.96977136719349388</v>
      </c>
      <c r="N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A99D-238E-450B-81B7-02A4B11FDEE8}">
  <dimension ref="A1:W24"/>
  <sheetViews>
    <sheetView tabSelected="1" workbookViewId="0">
      <selection activeCell="E14" sqref="E14"/>
    </sheetView>
  </sheetViews>
  <sheetFormatPr defaultRowHeight="14.4" x14ac:dyDescent="0.3"/>
  <cols>
    <col min="1" max="1" width="17.21875" bestFit="1" customWidth="1"/>
    <col min="2" max="2" width="16.5546875" bestFit="1" customWidth="1"/>
    <col min="3" max="3" width="12.77734375" bestFit="1" customWidth="1"/>
    <col min="4" max="4" width="8" bestFit="1" customWidth="1"/>
    <col min="6" max="6" width="19.21875" bestFit="1" customWidth="1"/>
    <col min="9" max="9" width="30.44140625" bestFit="1" customWidth="1"/>
    <col min="17" max="17" width="22.6640625" bestFit="1" customWidth="1"/>
    <col min="21" max="22" width="12" bestFit="1" customWidth="1"/>
  </cols>
  <sheetData>
    <row r="1" spans="1:22" x14ac:dyDescent="0.3">
      <c r="A1" s="11" t="s">
        <v>58</v>
      </c>
      <c r="B1" s="1"/>
      <c r="C1" s="1"/>
      <c r="D1" s="1"/>
      <c r="F1" s="24" t="s">
        <v>57</v>
      </c>
      <c r="G1" s="23"/>
      <c r="I1" s="11" t="s">
        <v>65</v>
      </c>
      <c r="J1" s="3" t="s">
        <v>6</v>
      </c>
      <c r="K1" s="3" t="s">
        <v>5</v>
      </c>
      <c r="L1" s="3" t="s">
        <v>4</v>
      </c>
      <c r="M1" s="3" t="s">
        <v>64</v>
      </c>
      <c r="N1" s="3" t="s">
        <v>62</v>
      </c>
      <c r="O1" s="3" t="s">
        <v>55</v>
      </c>
      <c r="Q1" s="9" t="s">
        <v>54</v>
      </c>
      <c r="R1" s="9" t="s">
        <v>6</v>
      </c>
      <c r="S1" s="9" t="s">
        <v>5</v>
      </c>
      <c r="T1" s="9" t="s">
        <v>4</v>
      </c>
      <c r="U1" s="9" t="s">
        <v>61</v>
      </c>
      <c r="V1" s="9" t="s">
        <v>60</v>
      </c>
    </row>
    <row r="2" spans="1:22" x14ac:dyDescent="0.3">
      <c r="A2" s="1"/>
      <c r="B2" s="3" t="s">
        <v>52</v>
      </c>
      <c r="C2" s="3" t="s">
        <v>51</v>
      </c>
      <c r="D2" s="3" t="s">
        <v>50</v>
      </c>
      <c r="F2" s="1" t="s">
        <v>6</v>
      </c>
      <c r="G2" s="17">
        <f>(2000/21)*8</f>
        <v>761.90476190476193</v>
      </c>
      <c r="I2" s="1" t="s">
        <v>48</v>
      </c>
      <c r="J2" s="1">
        <v>2000</v>
      </c>
      <c r="K2" s="1">
        <v>5000</v>
      </c>
      <c r="L2" s="1">
        <v>3000</v>
      </c>
      <c r="M2" s="17">
        <v>2500</v>
      </c>
      <c r="N2" s="17">
        <v>2500</v>
      </c>
      <c r="O2" s="1">
        <f>SUM(J2:N2)</f>
        <v>15000</v>
      </c>
      <c r="Q2" s="8"/>
      <c r="R2" s="8"/>
      <c r="S2" s="8"/>
      <c r="T2" s="8"/>
      <c r="U2" s="8"/>
      <c r="V2" s="8"/>
    </row>
    <row r="3" spans="1:22" x14ac:dyDescent="0.3">
      <c r="A3" s="1" t="s">
        <v>49</v>
      </c>
      <c r="B3" s="1">
        <v>885400</v>
      </c>
      <c r="C3" s="1"/>
      <c r="D3" s="1">
        <f>SUM(B3:C3)</f>
        <v>885400</v>
      </c>
      <c r="F3" s="1" t="s">
        <v>5</v>
      </c>
      <c r="G3" s="17">
        <f>(5000/96)*8</f>
        <v>416.66666666666669</v>
      </c>
      <c r="I3" s="1"/>
      <c r="J3" s="1"/>
      <c r="K3" s="1"/>
      <c r="L3" s="1"/>
      <c r="M3" s="1"/>
      <c r="N3" s="1"/>
      <c r="O3" s="1"/>
      <c r="Q3" s="8" t="s">
        <v>47</v>
      </c>
      <c r="R3" s="8">
        <f>J4*J5</f>
        <v>8.1000000000000014</v>
      </c>
      <c r="S3" s="8">
        <f>K4*K5</f>
        <v>1.0640000000000001</v>
      </c>
      <c r="T3" s="8">
        <f>L4*L5</f>
        <v>1.0714285714285714</v>
      </c>
      <c r="U3" s="8">
        <f>M4*M5</f>
        <v>4.93</v>
      </c>
      <c r="V3" s="8">
        <f>N4*N5</f>
        <v>3.944</v>
      </c>
    </row>
    <row r="4" spans="1:22" x14ac:dyDescent="0.3">
      <c r="A4" s="1" t="s">
        <v>46</v>
      </c>
      <c r="B4" s="1">
        <v>2000</v>
      </c>
      <c r="C4" s="1"/>
      <c r="D4" s="1">
        <f>SUM(B4:C4)</f>
        <v>2000</v>
      </c>
      <c r="F4" s="1" t="s">
        <v>4</v>
      </c>
      <c r="G4" s="17">
        <f>(3000/140)*8</f>
        <v>171.42857142857142</v>
      </c>
      <c r="I4" s="1" t="s">
        <v>42</v>
      </c>
      <c r="J4" s="19">
        <v>3</v>
      </c>
      <c r="K4" s="19">
        <v>1.1200000000000001</v>
      </c>
      <c r="L4" s="19">
        <v>1.1000000000000001</v>
      </c>
      <c r="M4" s="19">
        <v>1.7</v>
      </c>
      <c r="N4" s="19">
        <f>0.8*1.7</f>
        <v>1.36</v>
      </c>
      <c r="O4" s="1"/>
      <c r="Q4" s="8" t="s">
        <v>45</v>
      </c>
      <c r="R4" s="8"/>
      <c r="S4" s="8"/>
      <c r="T4" s="8">
        <f>L7</f>
        <v>1.2649999999999999</v>
      </c>
      <c r="U4" s="8"/>
      <c r="V4" s="8"/>
    </row>
    <row r="5" spans="1:22" x14ac:dyDescent="0.3">
      <c r="A5" s="1" t="s">
        <v>44</v>
      </c>
      <c r="B5" s="1">
        <v>45120</v>
      </c>
      <c r="C5" s="1">
        <f>56400-B5</f>
        <v>11280</v>
      </c>
      <c r="D5" s="1">
        <f>SUM(B5:C5)</f>
        <v>56400</v>
      </c>
      <c r="F5" s="1" t="s">
        <v>63</v>
      </c>
      <c r="G5" s="17">
        <f>(M2/M10)*8</f>
        <v>571.42857142857144</v>
      </c>
      <c r="I5" s="1" t="s">
        <v>38</v>
      </c>
      <c r="J5" s="19">
        <v>2.7</v>
      </c>
      <c r="K5" s="19">
        <v>0.95</v>
      </c>
      <c r="L5" s="10">
        <f>3.75/3.85</f>
        <v>0.97402597402597402</v>
      </c>
      <c r="M5" s="19">
        <v>2.9</v>
      </c>
      <c r="N5" s="19">
        <v>2.9</v>
      </c>
      <c r="O5" s="1"/>
      <c r="Q5" s="8" t="s">
        <v>41</v>
      </c>
      <c r="R5" s="8">
        <f>J6</f>
        <v>0.25</v>
      </c>
      <c r="S5" s="8">
        <f>K6</f>
        <v>0.09</v>
      </c>
      <c r="T5" s="8"/>
      <c r="U5" s="8">
        <f>M6</f>
        <v>0.45</v>
      </c>
      <c r="V5" s="8">
        <f>N6</f>
        <v>0.45</v>
      </c>
    </row>
    <row r="6" spans="1:22" x14ac:dyDescent="0.3">
      <c r="A6" s="1" t="s">
        <v>40</v>
      </c>
      <c r="B6" s="1">
        <f>(1300*12)*0.8*1.3</f>
        <v>16224</v>
      </c>
      <c r="C6" s="1">
        <f>(1300*12)*0.2</f>
        <v>3120</v>
      </c>
      <c r="D6" s="1">
        <f>SUM(B6:C6)</f>
        <v>19344</v>
      </c>
      <c r="F6" s="1" t="s">
        <v>62</v>
      </c>
      <c r="G6" s="17">
        <f>(N2/N10)*8</f>
        <v>571.42857142857144</v>
      </c>
      <c r="I6" s="1" t="s">
        <v>35</v>
      </c>
      <c r="J6" s="1">
        <v>0.25</v>
      </c>
      <c r="K6" s="1">
        <v>0.09</v>
      </c>
      <c r="L6" s="1"/>
      <c r="M6" s="1">
        <v>0.45</v>
      </c>
      <c r="N6" s="1">
        <v>0.45</v>
      </c>
      <c r="O6" s="1"/>
      <c r="Q6" s="13" t="s">
        <v>37</v>
      </c>
      <c r="R6" s="9">
        <f>SUM(R3:R5)</f>
        <v>8.3500000000000014</v>
      </c>
      <c r="S6" s="9">
        <f>SUM(S3:S5)</f>
        <v>1.1540000000000001</v>
      </c>
      <c r="T6" s="9">
        <f>SUM(T3:T5)</f>
        <v>2.3364285714285713</v>
      </c>
      <c r="U6" s="9">
        <f>SUM(U3:U5)</f>
        <v>5.38</v>
      </c>
      <c r="V6" s="9">
        <f>SUM(V3:V5)</f>
        <v>4.3940000000000001</v>
      </c>
    </row>
    <row r="7" spans="1:22" x14ac:dyDescent="0.3">
      <c r="A7" s="1" t="s">
        <v>36</v>
      </c>
      <c r="B7" s="1"/>
      <c r="C7" s="1">
        <v>1800</v>
      </c>
      <c r="D7" s="1">
        <f>SUM(B7:C7)</f>
        <v>1800</v>
      </c>
      <c r="F7" s="1" t="s">
        <v>39</v>
      </c>
      <c r="G7" s="17">
        <f>(1320*12)+(571*2*12)</f>
        <v>29544</v>
      </c>
      <c r="I7" s="1" t="s">
        <v>33</v>
      </c>
      <c r="J7" s="1"/>
      <c r="K7" s="1"/>
      <c r="L7" s="1">
        <f>1.15*L4</f>
        <v>1.2649999999999999</v>
      </c>
      <c r="M7" s="1"/>
      <c r="N7" s="1"/>
      <c r="O7" s="1"/>
      <c r="Q7" s="8"/>
      <c r="R7" s="8"/>
      <c r="S7" s="8"/>
      <c r="T7" s="8"/>
      <c r="U7" s="8"/>
      <c r="V7" s="8"/>
    </row>
    <row r="8" spans="1:22" x14ac:dyDescent="0.3">
      <c r="A8" s="1" t="s">
        <v>34</v>
      </c>
      <c r="B8" s="1"/>
      <c r="C8" s="1">
        <v>80000</v>
      </c>
      <c r="D8" s="1">
        <f>SUM(B8:C8)</f>
        <v>80000</v>
      </c>
      <c r="F8" s="18"/>
      <c r="G8" s="18"/>
      <c r="I8" s="1" t="s">
        <v>30</v>
      </c>
      <c r="J8" s="1"/>
      <c r="K8" s="1"/>
      <c r="L8" s="17">
        <f>4000/L4</f>
        <v>3636.363636363636</v>
      </c>
      <c r="M8" s="1"/>
      <c r="N8" s="1"/>
      <c r="O8" s="21"/>
      <c r="Q8" s="8" t="s">
        <v>32</v>
      </c>
      <c r="R8" s="8"/>
      <c r="S8" s="8"/>
      <c r="T8" s="8">
        <f>(8/L8)*20</f>
        <v>4.4000000000000004E-2</v>
      </c>
      <c r="U8" s="8"/>
      <c r="V8" s="8"/>
    </row>
    <row r="9" spans="1:22" x14ac:dyDescent="0.3">
      <c r="A9" s="1" t="s">
        <v>31</v>
      </c>
      <c r="B9" s="1"/>
      <c r="C9" s="1">
        <v>18600</v>
      </c>
      <c r="D9" s="1">
        <f>SUM(B9:C9)</f>
        <v>18600</v>
      </c>
      <c r="I9" s="1" t="s">
        <v>27</v>
      </c>
      <c r="J9" s="17">
        <f>4500/J4</f>
        <v>1500</v>
      </c>
      <c r="K9" s="17">
        <f>4500/K4</f>
        <v>4017.8571428571427</v>
      </c>
      <c r="L9" s="17">
        <f>4500/L4</f>
        <v>4090.9090909090905</v>
      </c>
      <c r="M9" s="17">
        <f>4500/M4</f>
        <v>2647.0588235294117</v>
      </c>
      <c r="N9" s="17">
        <f>4500/N4</f>
        <v>3308.8235294117644</v>
      </c>
      <c r="O9" s="22"/>
      <c r="Q9" s="8" t="s">
        <v>29</v>
      </c>
      <c r="R9" s="8">
        <f>(8/J9)*15</f>
        <v>0.08</v>
      </c>
      <c r="S9" s="8">
        <f>(8/K9)*15</f>
        <v>2.9866666666666666E-2</v>
      </c>
      <c r="T9" s="8">
        <f>(8/L9)*15</f>
        <v>2.9333333333333336E-2</v>
      </c>
      <c r="U9" s="8">
        <f>(8/M9)*15</f>
        <v>4.533333333333333E-2</v>
      </c>
      <c r="V9" s="8">
        <f>(8/N9)*15</f>
        <v>3.6266666666666669E-2</v>
      </c>
    </row>
    <row r="10" spans="1:22" x14ac:dyDescent="0.3">
      <c r="A10" s="1" t="s">
        <v>28</v>
      </c>
      <c r="B10" s="1">
        <f>SUM(B4:B6)</f>
        <v>63344</v>
      </c>
      <c r="C10" s="1">
        <f>SUM(C5:C9)</f>
        <v>114800</v>
      </c>
      <c r="D10" s="1">
        <f>SUM(B10:C10)</f>
        <v>178144</v>
      </c>
      <c r="I10" s="15" t="s">
        <v>24</v>
      </c>
      <c r="J10" s="1">
        <v>21</v>
      </c>
      <c r="K10" s="1">
        <v>96</v>
      </c>
      <c r="L10" s="1">
        <v>140</v>
      </c>
      <c r="M10" s="1">
        <v>35</v>
      </c>
      <c r="N10" s="1">
        <v>35</v>
      </c>
      <c r="O10" s="21"/>
      <c r="Q10" s="8" t="s">
        <v>26</v>
      </c>
      <c r="R10" s="8">
        <f>(J17*15)</f>
        <v>5.7142857142857144</v>
      </c>
      <c r="S10" s="8">
        <f>(K17*15)</f>
        <v>1.2500000000000002</v>
      </c>
      <c r="T10" s="8">
        <f>(L17*15)</f>
        <v>0.8571428571428571</v>
      </c>
      <c r="U10" s="8">
        <f>(M17*15)</f>
        <v>3.4285714285714284</v>
      </c>
      <c r="V10" s="8">
        <f>(N17*15)</f>
        <v>3.4285714285714284</v>
      </c>
    </row>
    <row r="11" spans="1:22" x14ac:dyDescent="0.3">
      <c r="A11" s="1" t="s">
        <v>25</v>
      </c>
      <c r="B11" s="1"/>
      <c r="C11" s="1"/>
      <c r="D11" s="1">
        <f>D10+D3</f>
        <v>1063544</v>
      </c>
      <c r="I11" s="1" t="s">
        <v>21</v>
      </c>
      <c r="J11" s="1">
        <f>J10</f>
        <v>21</v>
      </c>
      <c r="K11" s="1">
        <f>K10</f>
        <v>96</v>
      </c>
      <c r="L11" s="1">
        <f>L10</f>
        <v>140</v>
      </c>
      <c r="M11" s="1">
        <v>35</v>
      </c>
      <c r="N11" s="1">
        <v>35</v>
      </c>
      <c r="O11" s="21"/>
      <c r="Q11" s="8" t="s">
        <v>23</v>
      </c>
      <c r="R11" s="8">
        <f>J17*15</f>
        <v>5.7142857142857144</v>
      </c>
      <c r="S11" s="8">
        <f>K17*15</f>
        <v>1.2500000000000002</v>
      </c>
      <c r="T11" s="8">
        <f>L17*15</f>
        <v>0.8571428571428571</v>
      </c>
      <c r="U11" s="8">
        <f>M17*15</f>
        <v>3.4285714285714284</v>
      </c>
      <c r="V11" s="8">
        <f>N17*15</f>
        <v>3.4285714285714284</v>
      </c>
    </row>
    <row r="12" spans="1:22" x14ac:dyDescent="0.3">
      <c r="A12" s="1" t="s">
        <v>22</v>
      </c>
      <c r="B12" s="1"/>
      <c r="C12" s="1"/>
      <c r="D12" s="1">
        <v>310200</v>
      </c>
      <c r="Q12" s="13" t="s">
        <v>20</v>
      </c>
      <c r="R12" s="9">
        <f>SUM(R8:R11)</f>
        <v>11.508571428571429</v>
      </c>
      <c r="S12" s="9">
        <f>SUM(S8:S11)</f>
        <v>2.5298666666666669</v>
      </c>
      <c r="T12" s="9">
        <f>SUM(T8:T11)</f>
        <v>1.7876190476190477</v>
      </c>
      <c r="U12" s="9">
        <f>SUM(U8:U11)</f>
        <v>6.9024761904761895</v>
      </c>
      <c r="V12" s="9">
        <f>SUM(V8:V11)</f>
        <v>6.8934095238095239</v>
      </c>
    </row>
    <row r="13" spans="1:22" x14ac:dyDescent="0.3">
      <c r="A13" s="1" t="s">
        <v>19</v>
      </c>
      <c r="B13" s="1"/>
      <c r="C13" s="1"/>
      <c r="D13" s="12">
        <f>D12/B17</f>
        <v>0.22977777777777778</v>
      </c>
      <c r="I13" s="11" t="s">
        <v>18</v>
      </c>
      <c r="J13" s="1"/>
      <c r="K13" s="1"/>
      <c r="L13" s="1"/>
      <c r="M13" s="1"/>
      <c r="N13" s="1"/>
      <c r="O13" s="1"/>
      <c r="Q13" s="8"/>
      <c r="R13" s="8"/>
      <c r="S13" s="8"/>
      <c r="T13" s="8"/>
      <c r="U13" s="8"/>
      <c r="V13" s="8"/>
    </row>
    <row r="14" spans="1:22" x14ac:dyDescent="0.3">
      <c r="I14" s="1"/>
      <c r="J14" s="1"/>
      <c r="K14" s="1"/>
      <c r="L14" s="1"/>
      <c r="M14" s="1"/>
      <c r="N14" s="1"/>
      <c r="O14" s="1"/>
      <c r="Q14" s="9" t="s">
        <v>17</v>
      </c>
      <c r="R14" s="8">
        <f>R6+R12</f>
        <v>19.85857142857143</v>
      </c>
      <c r="S14" s="8">
        <f>S6+S12</f>
        <v>3.6838666666666668</v>
      </c>
      <c r="T14" s="8">
        <f>T6+T12</f>
        <v>4.1240476190476194</v>
      </c>
      <c r="U14" s="8">
        <f>U6+U12</f>
        <v>12.282476190476189</v>
      </c>
      <c r="V14" s="8">
        <f>V6+V12</f>
        <v>11.287409523809524</v>
      </c>
    </row>
    <row r="15" spans="1:22" x14ac:dyDescent="0.3">
      <c r="A15" s="1" t="s">
        <v>16</v>
      </c>
      <c r="B15" s="1">
        <v>945000</v>
      </c>
      <c r="I15" s="1" t="s">
        <v>8</v>
      </c>
      <c r="J15" s="1"/>
      <c r="K15" s="1"/>
      <c r="L15" s="1"/>
      <c r="M15" s="1"/>
      <c r="N15" s="1"/>
      <c r="O15" s="17">
        <f>G7</f>
        <v>29544</v>
      </c>
      <c r="Q15" s="8" t="s">
        <v>10</v>
      </c>
      <c r="R15" s="8">
        <f>J18</f>
        <v>0.81678336105630989</v>
      </c>
      <c r="S15" s="8">
        <f>K18</f>
        <v>0.17867136023106781</v>
      </c>
      <c r="T15" s="8">
        <f>L18</f>
        <v>0.12251750415844648</v>
      </c>
      <c r="U15" s="8">
        <f>M18</f>
        <v>0.49007001663378591</v>
      </c>
      <c r="V15" s="8">
        <f>N18</f>
        <v>0.49007001663378591</v>
      </c>
    </row>
    <row r="16" spans="1:22" x14ac:dyDescent="0.3">
      <c r="A16" s="1" t="s">
        <v>15</v>
      </c>
      <c r="B16" s="1">
        <f>B15-59600</f>
        <v>885400</v>
      </c>
      <c r="I16" s="1" t="s">
        <v>12</v>
      </c>
      <c r="J16" s="1"/>
      <c r="K16" s="1"/>
      <c r="L16" s="1"/>
      <c r="M16" s="1"/>
      <c r="N16" s="1"/>
      <c r="O16" s="10">
        <f>B10/O15</f>
        <v>2.1440563227728133</v>
      </c>
      <c r="Q16" s="9" t="s">
        <v>14</v>
      </c>
      <c r="R16" s="9">
        <f>SUM(R14:R15)</f>
        <v>20.67535478962774</v>
      </c>
      <c r="S16" s="9">
        <f>SUM(S14:S15)</f>
        <v>3.8625380268977345</v>
      </c>
      <c r="T16" s="9">
        <f>SUM(T14:T15)</f>
        <v>4.2465651232060662</v>
      </c>
      <c r="U16" s="9">
        <f>SUM(U14:U15)</f>
        <v>12.772546207109974</v>
      </c>
      <c r="V16" s="9">
        <f>SUM(V14:V15)</f>
        <v>11.777479540443309</v>
      </c>
    </row>
    <row r="17" spans="1:23" x14ac:dyDescent="0.3">
      <c r="A17" s="1" t="s">
        <v>13</v>
      </c>
      <c r="B17" s="1">
        <v>1350000</v>
      </c>
      <c r="I17" s="1" t="s">
        <v>2</v>
      </c>
      <c r="J17" s="20">
        <f>G2/J2</f>
        <v>0.38095238095238099</v>
      </c>
      <c r="K17" s="20">
        <f>G3/K2</f>
        <v>8.3333333333333343E-2</v>
      </c>
      <c r="L17" s="20">
        <f>G4/L2</f>
        <v>5.7142857142857141E-2</v>
      </c>
      <c r="M17" s="20">
        <f>G5/M2</f>
        <v>0.22857142857142856</v>
      </c>
      <c r="N17" s="20">
        <f>G6/N2</f>
        <v>0.22857142857142856</v>
      </c>
      <c r="O17" s="1"/>
      <c r="Q17" s="8" t="s">
        <v>0</v>
      </c>
      <c r="R17" s="8">
        <f>J24</f>
        <v>1.4802780034299126</v>
      </c>
      <c r="S17" s="8">
        <f>K24</f>
        <v>0.32381081325029337</v>
      </c>
      <c r="T17" s="8">
        <f>L24</f>
        <v>0.22204170051448685</v>
      </c>
      <c r="U17" s="8">
        <f>M24</f>
        <v>0.8881668020579474</v>
      </c>
      <c r="V17" s="8">
        <f>N24</f>
        <v>0.8881668020579474</v>
      </c>
    </row>
    <row r="18" spans="1:23" x14ac:dyDescent="0.3">
      <c r="I18" s="3" t="s">
        <v>10</v>
      </c>
      <c r="J18" s="2">
        <f>J17*$O$16</f>
        <v>0.81678336105630989</v>
      </c>
      <c r="K18" s="2">
        <f>K17*$O$16</f>
        <v>0.17867136023106781</v>
      </c>
      <c r="L18" s="2">
        <f>L17*$O$16</f>
        <v>0.12251750415844648</v>
      </c>
      <c r="M18" s="2">
        <f>M17*$O$16</f>
        <v>0.49007001663378591</v>
      </c>
      <c r="N18" s="2">
        <f>N17*$O$16</f>
        <v>0.49007001663378591</v>
      </c>
      <c r="O18" s="1"/>
      <c r="Q18" s="9" t="s">
        <v>11</v>
      </c>
      <c r="R18" s="9">
        <f>R16+R17</f>
        <v>22.155632793057652</v>
      </c>
      <c r="S18" s="9">
        <f>S16+S17</f>
        <v>4.1863488401480282</v>
      </c>
      <c r="T18" s="9">
        <f>T16+T17</f>
        <v>4.4686068237205534</v>
      </c>
      <c r="U18" s="9">
        <f>U16+U17</f>
        <v>13.660713009167921</v>
      </c>
      <c r="V18" s="9">
        <f>V16+V17</f>
        <v>12.665646342501256</v>
      </c>
    </row>
    <row r="19" spans="1:23" x14ac:dyDescent="0.3">
      <c r="I19" s="1"/>
      <c r="J19" s="1"/>
      <c r="K19" s="1"/>
      <c r="L19" s="1"/>
      <c r="M19" s="1"/>
      <c r="N19" s="1"/>
      <c r="O19" s="1"/>
      <c r="Q19" s="8"/>
      <c r="R19" s="8"/>
      <c r="S19" s="8"/>
      <c r="T19" s="8"/>
      <c r="U19" s="8"/>
      <c r="V19" s="8"/>
    </row>
    <row r="20" spans="1:23" x14ac:dyDescent="0.3">
      <c r="I20" s="1"/>
      <c r="J20" s="1"/>
      <c r="K20" s="1"/>
      <c r="L20" s="1"/>
      <c r="M20" s="1"/>
      <c r="N20" s="1"/>
      <c r="O20" s="1"/>
      <c r="Q20" s="9" t="s">
        <v>9</v>
      </c>
      <c r="R20" s="9">
        <f>1.2298*R18</f>
        <v>27.2469972089023</v>
      </c>
      <c r="S20" s="9">
        <f>1.2298*S18</f>
        <v>5.1483718036140456</v>
      </c>
      <c r="T20" s="9">
        <f>1.2298*T18</f>
        <v>5.4954926718115367</v>
      </c>
      <c r="U20" s="9">
        <f>1.2298*U18</f>
        <v>16.79994485867471</v>
      </c>
      <c r="V20" s="9">
        <f>1.2298*V18</f>
        <v>15.576211872008045</v>
      </c>
    </row>
    <row r="21" spans="1:23" x14ac:dyDescent="0.3">
      <c r="I21" s="1" t="s">
        <v>8</v>
      </c>
      <c r="J21" s="1"/>
      <c r="K21" s="1"/>
      <c r="L21" s="1"/>
      <c r="M21" s="1"/>
      <c r="N21" s="1"/>
      <c r="O21" s="17">
        <f>O15</f>
        <v>29544</v>
      </c>
    </row>
    <row r="22" spans="1:23" x14ac:dyDescent="0.3">
      <c r="I22" s="1" t="s">
        <v>7</v>
      </c>
      <c r="J22" s="1"/>
      <c r="K22" s="1"/>
      <c r="L22" s="1"/>
      <c r="M22" s="1"/>
      <c r="N22" s="1"/>
      <c r="O22" s="1">
        <f>C10/O21</f>
        <v>3.88572975900352</v>
      </c>
      <c r="R22" s="7" t="s">
        <v>6</v>
      </c>
      <c r="S22" s="7" t="s">
        <v>5</v>
      </c>
      <c r="T22" s="7" t="s">
        <v>4</v>
      </c>
      <c r="U22" s="7" t="s">
        <v>61</v>
      </c>
      <c r="V22" s="7" t="s">
        <v>60</v>
      </c>
    </row>
    <row r="23" spans="1:23" x14ac:dyDescent="0.3">
      <c r="I23" s="1" t="s">
        <v>2</v>
      </c>
      <c r="J23" s="6">
        <f>J17</f>
        <v>0.38095238095238099</v>
      </c>
      <c r="K23" s="6">
        <f>K17</f>
        <v>8.3333333333333343E-2</v>
      </c>
      <c r="L23" s="6">
        <f>L17</f>
        <v>5.7142857142857141E-2</v>
      </c>
      <c r="M23" s="6">
        <f>M17</f>
        <v>0.22857142857142856</v>
      </c>
      <c r="N23" s="6">
        <f>N17</f>
        <v>0.22857142857142856</v>
      </c>
      <c r="O23" s="1"/>
      <c r="Q23" s="5" t="s">
        <v>1</v>
      </c>
      <c r="R23" s="4">
        <f>R6+R12</f>
        <v>19.85857142857143</v>
      </c>
      <c r="S23" s="4">
        <f>S6+S12</f>
        <v>3.6838666666666668</v>
      </c>
      <c r="T23" s="4">
        <f>T6+T12</f>
        <v>4.1240476190476194</v>
      </c>
      <c r="U23" s="4">
        <f>U6+U12</f>
        <v>12.282476190476189</v>
      </c>
      <c r="V23" s="4">
        <f>V6+V12</f>
        <v>11.287409523809524</v>
      </c>
      <c r="W23" s="7" t="s">
        <v>59</v>
      </c>
    </row>
    <row r="24" spans="1:23" x14ac:dyDescent="0.3">
      <c r="I24" s="3" t="s">
        <v>0</v>
      </c>
      <c r="J24" s="2">
        <f>J23*$O$22</f>
        <v>1.4802780034299126</v>
      </c>
      <c r="K24" s="2">
        <f>K23*$O$22</f>
        <v>0.32381081325029337</v>
      </c>
      <c r="L24" s="2">
        <f>L23*$O$22</f>
        <v>0.22204170051448685</v>
      </c>
      <c r="M24" s="2">
        <f>M23*$O$22</f>
        <v>0.8881668020579474</v>
      </c>
      <c r="N24" s="2">
        <f>N23*$O$22</f>
        <v>0.8881668020579474</v>
      </c>
      <c r="O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Washable Trousers Costing</vt:lpstr>
      <vt:lpstr>Cargo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Kuntal Pyne</dc:creator>
  <cp:lastModifiedBy>Kuntal Pyne</cp:lastModifiedBy>
  <dcterms:created xsi:type="dcterms:W3CDTF">2015-06-05T18:17:20Z</dcterms:created>
  <dcterms:modified xsi:type="dcterms:W3CDTF">2025-10-16T09:05:24Z</dcterms:modified>
</cp:coreProperties>
</file>