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SUS\OneDrive\Desktop\"/>
    </mc:Choice>
  </mc:AlternateContent>
  <xr:revisionPtr revIDLastSave="0" documentId="13_ncr:1_{902D224E-3857-4CCA-A8AD-B8BCEA534379}" xr6:coauthVersionLast="47" xr6:coauthVersionMax="47" xr10:uidLastSave="{00000000-0000-0000-0000-000000000000}"/>
  <bookViews>
    <workbookView xWindow="-108" yWindow="-108" windowWidth="23256" windowHeight="12456" firstSheet="1" activeTab="3" xr2:uid="{00000000-000D-0000-FFFF-FFFF00000000}"/>
  </bookViews>
  <sheets>
    <sheet name="Group Details" sheetId="11" r:id="rId1"/>
    <sheet name="Questions 1,2 &amp; 5" sheetId="2" r:id="rId2"/>
    <sheet name="Exhibit 7 (Question 3)" sheetId="6" r:id="rId3"/>
    <sheet name="Scenario Analysis (Question 4)" sheetId="16" r:id="rId4"/>
    <sheet name="Exhibit 4" sheetId="3" r:id="rId5"/>
    <sheet name="Exhibit 5" sheetId="4" r:id="rId6"/>
    <sheet name="Exhibit 6" sheetId="5" r:id="rId7"/>
    <sheet name="Exhibit 8" sheetId="7" r:id="rId8"/>
  </sheets>
  <definedNames>
    <definedName name="solver_eng" localSheetId="2" hidden="1">1</definedName>
    <definedName name="solver_neg" localSheetId="2" hidden="1">1</definedName>
    <definedName name="solver_num" localSheetId="2" hidden="1">0</definedName>
    <definedName name="solver_opt" localSheetId="2" hidden="1">'Exhibit 7 (Question 3)'!$B$110</definedName>
    <definedName name="solver_typ" localSheetId="2" hidden="1">1</definedName>
    <definedName name="solver_val" localSheetId="2" hidden="1">0</definedName>
    <definedName name="solver_ver" localSheetId="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0" i="6" l="1"/>
  <c r="K91" i="6"/>
  <c r="K92" i="6"/>
  <c r="K93" i="6"/>
  <c r="J89" i="6"/>
  <c r="B96" i="6"/>
  <c r="C96" i="6" s="1"/>
  <c r="D96" i="6" s="1"/>
  <c r="E96" i="6" s="1"/>
  <c r="F96" i="6" s="1"/>
  <c r="B93" i="6" l="1"/>
  <c r="C93" i="6" s="1"/>
  <c r="D93" i="6" s="1"/>
  <c r="E93" i="6" s="1"/>
  <c r="F93" i="6" s="1"/>
  <c r="B64" i="6"/>
  <c r="B52" i="6"/>
  <c r="C90" i="6"/>
  <c r="D90" i="6" s="1"/>
  <c r="E90" i="6" s="1"/>
  <c r="F90" i="6" s="1"/>
  <c r="C89" i="6"/>
  <c r="D89" i="6" s="1"/>
  <c r="C88" i="6"/>
  <c r="C94" i="6" s="1"/>
  <c r="B90" i="6"/>
  <c r="B89" i="6"/>
  <c r="B88" i="6"/>
  <c r="B100" i="6" s="1"/>
  <c r="H5" i="6"/>
  <c r="C7" i="4"/>
  <c r="C8" i="4"/>
  <c r="B11" i="4"/>
  <c r="D8" i="4"/>
  <c r="D7" i="4"/>
  <c r="D9" i="4"/>
  <c r="C9" i="4"/>
  <c r="B9" i="4"/>
  <c r="B8" i="4"/>
  <c r="B7" i="4"/>
  <c r="G40" i="6"/>
  <c r="G42" i="6" s="1"/>
  <c r="F40" i="6"/>
  <c r="F42" i="6" s="1"/>
  <c r="E40" i="6"/>
  <c r="E42" i="6" s="1"/>
  <c r="D40" i="6"/>
  <c r="D42" i="6" s="1"/>
  <c r="C40" i="6"/>
  <c r="C42" i="6" s="1"/>
  <c r="G36" i="6"/>
  <c r="F36" i="6"/>
  <c r="E36" i="6"/>
  <c r="D36" i="6"/>
  <c r="C36" i="6"/>
  <c r="B36" i="6"/>
  <c r="G31" i="6"/>
  <c r="F31" i="6"/>
  <c r="E31" i="6"/>
  <c r="D31" i="6"/>
  <c r="C31" i="6"/>
  <c r="B31" i="6"/>
  <c r="G18" i="6"/>
  <c r="G20" i="6" s="1"/>
  <c r="G44" i="6" s="1"/>
  <c r="F18" i="6"/>
  <c r="F20" i="6" s="1"/>
  <c r="F44" i="6" s="1"/>
  <c r="E18" i="6"/>
  <c r="E20" i="6" s="1"/>
  <c r="E44" i="6" s="1"/>
  <c r="D18" i="6"/>
  <c r="D20" i="6" s="1"/>
  <c r="D44" i="6" s="1"/>
  <c r="C18" i="6"/>
  <c r="C20" i="6" s="1"/>
  <c r="C44" i="6" s="1"/>
  <c r="B18" i="6"/>
  <c r="B20" i="6" s="1"/>
  <c r="B44" i="6" s="1"/>
  <c r="D43" i="2"/>
  <c r="C43" i="2"/>
  <c r="B43" i="2"/>
  <c r="J38" i="2"/>
  <c r="D38" i="2"/>
  <c r="C38" i="2"/>
  <c r="B38" i="2"/>
  <c r="B34" i="2"/>
  <c r="B33" i="2"/>
  <c r="B35" i="2" s="1"/>
  <c r="B27" i="2"/>
  <c r="B26" i="2"/>
  <c r="B28" i="2" s="1"/>
  <c r="D21" i="2"/>
  <c r="C21" i="2"/>
  <c r="B21" i="2"/>
  <c r="D20" i="2"/>
  <c r="C20" i="2"/>
  <c r="B20" i="2"/>
  <c r="D11" i="2"/>
  <c r="C11" i="2"/>
  <c r="B11" i="2"/>
  <c r="D10" i="2"/>
  <c r="C10" i="2"/>
  <c r="B10" i="2"/>
  <c r="B65" i="6" l="1"/>
  <c r="C95" i="6"/>
  <c r="B95" i="6"/>
  <c r="B94" i="6"/>
  <c r="C99" i="6"/>
  <c r="B92" i="6"/>
  <c r="B99" i="6"/>
  <c r="C100" i="6"/>
  <c r="E89" i="6"/>
  <c r="D88" i="6"/>
  <c r="C92" i="6"/>
  <c r="B37" i="6"/>
  <c r="B40" i="6" s="1"/>
  <c r="B42" i="6" s="1"/>
  <c r="B102" i="6" l="1"/>
  <c r="B101" i="6"/>
  <c r="B103" i="6" s="1"/>
  <c r="D94" i="6"/>
  <c r="D95" i="6"/>
  <c r="B98" i="6"/>
  <c r="C98" i="6"/>
  <c r="D99" i="6"/>
  <c r="D92" i="6"/>
  <c r="D100" i="6"/>
  <c r="F89" i="6"/>
  <c r="F88" i="6" s="1"/>
  <c r="E88" i="6"/>
  <c r="C101" i="6"/>
  <c r="C102" i="6"/>
  <c r="B105" i="6" l="1"/>
  <c r="B107" i="6" s="1"/>
  <c r="E95" i="6"/>
  <c r="F95" i="6"/>
  <c r="F99" i="6"/>
  <c r="E94" i="6"/>
  <c r="F94" i="6"/>
  <c r="E92" i="6"/>
  <c r="E100" i="6"/>
  <c r="D102" i="6"/>
  <c r="D101" i="6"/>
  <c r="D98" i="6"/>
  <c r="E99" i="6"/>
  <c r="C103" i="6"/>
  <c r="C105" i="6" s="1"/>
  <c r="C107" i="6" s="1"/>
  <c r="F100" i="6"/>
  <c r="F92" i="6"/>
  <c r="D103" i="6" l="1"/>
  <c r="D105" i="6" s="1"/>
  <c r="D107" i="6" s="1"/>
  <c r="E98" i="6"/>
  <c r="F102" i="6"/>
  <c r="F101" i="6"/>
  <c r="E102" i="6"/>
  <c r="E101" i="6"/>
  <c r="F98" i="6"/>
  <c r="E103" i="6" l="1"/>
  <c r="E105" i="6" s="1"/>
  <c r="E107" i="6" s="1"/>
  <c r="F103" i="6"/>
  <c r="F105" i="6" s="1"/>
  <c r="G105" i="6" l="1"/>
  <c r="F106" i="6" s="1"/>
  <c r="F107" i="6" s="1"/>
  <c r="B109" i="6" s="1"/>
  <c r="B110" i="6" s="1"/>
</calcChain>
</file>

<file path=xl/sharedStrings.xml><?xml version="1.0" encoding="utf-8"?>
<sst xmlns="http://schemas.openxmlformats.org/spreadsheetml/2006/main" count="309" uniqueCount="275">
  <si>
    <t>FCFF</t>
  </si>
  <si>
    <t>Total FCFF</t>
  </si>
  <si>
    <t>Case Analysis: Bajaj Consumer Care Ltd.</t>
  </si>
  <si>
    <t>1. Industry Analysis
o Conduct an industry analysis of the FMCG and personal care sector, focusing on
existing competition, market dynamics, consumer trends, regulatory factors, and
other key drivers that may impact the firm’s performance.</t>
  </si>
  <si>
    <t>Industry Analysis: Indian FMCG &amp; Personal Care Sector
This analysis provides a strategic overview of the Fast-Moving Consumer Goods (FMCG) and Personal Care sector in India, contextualizing the competitive position and operational environment for Bajaj Consumer Care Ltd. as of 2017.</t>
  </si>
  <si>
    <t>1. Existing Competition
The Indian personal care market is a highly competitive arena characterized by the presence of established multinational corporations and strong domestic entities. The primary competitors for Bajaj Consumer Care in the hair oil segment are Dabur India Ltd. and Marico Ltd.
A quantitative assessment of the competitive landscape can be derived from a DuPont analysis (Exhibit 4). As of FY2017, Bajaj Consumer Care demonstrated superior profitability and efficiency relative to its peers:
Return on Equity (ROE): Bajaj's ROE stood at an exceptional 44.16%, significantly outperforming Dabur (29.02%) and Marico (37.51%). This indicates a more effective generation of profit from shareholders' equity.
Net Profit Margin: The company's net profit margin was 26.1%, substantially higher than Dabur (16.62%) and Marico (13.68%). This highlights Bajaj's operational excellence and strong pricing power.
This financial evidence substantiates Bajaj's robust competitive position, driven by superior profitability and efficient management, despite operating in a market with formidable rivals.</t>
  </si>
  <si>
    <t>Bajaj</t>
  </si>
  <si>
    <t>Dabur</t>
  </si>
  <si>
    <t>Marico</t>
  </si>
  <si>
    <t>Net Profit Margin</t>
  </si>
  <si>
    <t>Return on Equity (ROE)</t>
  </si>
  <si>
    <t>2. Financial Health
o Evaluate the financial health of Bajaj Consumer Care Ltd. through financial ratio
analysis. Cover profitability, liquidity, leverage, and efficiency ratios. Compare
with industry peers where relevant.</t>
  </si>
  <si>
    <t>2. Financial Health Analysis
Bajaj Consumer Care Ltd. demonstrates a robust and superior financial profile characterized by high profitability, a strong liquidity position, minimal leverage, and efficient operations. A detailed ratio analysis confirms its healthy standing within the Indian personal care industry.</t>
  </si>
  <si>
    <t>Profitability Ratios
The company's ability to generate profit is exceptional when compared to its peers.
Net Profit Margin: In FY2017, Bajaj achieved a Net Profit Margin of 26.1%. This is significantly higher than its key competitors, Dabur (16.62%) and Marico (13.68%), as detailed in Exhibit 4. This indicates superior operational efficiency and strong pricing power for its products.
Return on Equity (ROE): The company's ROE was an impressive 44.16% in FY2017, again surpassing both Dabur (29.02%) and Marico (37.51%). This demonstrates a highly effective use of shareholder capital to generate returns.</t>
  </si>
  <si>
    <t>Liquidity Ratios
Bajaj maintains a strong liquidity position, ensuring it can comfortably meet its short-term obligations.
Current Ratio: A review of the Balance Sheet (Exhibit 8) shows that as of March 2017, the company's Total Current Assets stood at ₹3,385.4 million, while its Total Current Liabilities were only ₹953.5 million. This results in a healthy current ratio of approximately 3.55, indicating that the company has more than enough liquid assets to cover its short-term debts.</t>
  </si>
  <si>
    <t>Total Current Assets</t>
  </si>
  <si>
    <t>Total Current Liabilities</t>
  </si>
  <si>
    <t>Current Ratio</t>
  </si>
  <si>
    <t>Leverage Ratios
The company operates on an extremely conservative financial footing with minimal reliance on debt.
Debt-to-Equity Ratio: As per Exhibit 8, Bajaj had a negligible amount of Debt (₹150 million) compared to its substantial Total Shareholders’ Equity (₹4,941.9 million) in FY2017. This results in a very low debt-to-equity ratio, signifying a low-risk financial profile.
Equity Multiplier: This low reliance on debt is further confirmed by its Equity Multiplier of 1.19 times (Exhibit 4), which is lower than that of both Dabur (1.75 times) and Marico (1.62 times).</t>
  </si>
  <si>
    <t>Debt</t>
  </si>
  <si>
    <t>Equity</t>
  </si>
  <si>
    <t>Debt to Equity ratio</t>
  </si>
  <si>
    <t>Equity Multiplier</t>
  </si>
  <si>
    <t>Equity multiplier = Total Assets/Total Shareholders Equity
(Can be derived for Bajaj from Exhibit 8)</t>
  </si>
  <si>
    <t>Efficiency Ratios
Bajaj demonstrates reasonable efficiency in utilizing its assets to generate revenue.
Total Asset Turnover: In FY2017, the company's Total Asset Turnover Ratio was 1.42 times (Exhibit 4). While slightly less efficient than Marico (1.65 times), it was significantly more efficient than Dabur (1.00 times). This indicates a solid ability to convert its asset base into sales.</t>
  </si>
  <si>
    <t>Total Asset Turnover Ratio</t>
  </si>
  <si>
    <r>
      <rPr>
        <b/>
        <sz val="10"/>
        <color theme="1"/>
        <rFont val="Arial"/>
        <family val="2"/>
      </rPr>
      <t>EXHIBIT 4: DUPONT ANALYSIS OF KEY PLAYERS IN HAIR OIL INDUSTRY</t>
    </r>
  </si>
  <si>
    <r>
      <rPr>
        <b/>
        <sz val="10"/>
        <color theme="1"/>
        <rFont val="Arial"/>
        <family val="2"/>
      </rPr>
      <t>FY2013</t>
    </r>
  </si>
  <si>
    <r>
      <rPr>
        <b/>
        <sz val="10"/>
        <color theme="1"/>
        <rFont val="Arial"/>
        <family val="2"/>
      </rPr>
      <t>FY2014</t>
    </r>
  </si>
  <si>
    <r>
      <rPr>
        <b/>
        <sz val="10"/>
        <color theme="1"/>
        <rFont val="Arial"/>
        <family val="2"/>
      </rPr>
      <t>FY2015</t>
    </r>
  </si>
  <si>
    <r>
      <rPr>
        <b/>
        <sz val="10"/>
        <color theme="1"/>
        <rFont val="Arial"/>
        <family val="2"/>
      </rPr>
      <t>FY2016</t>
    </r>
  </si>
  <si>
    <r>
      <rPr>
        <b/>
        <sz val="10"/>
        <color theme="1"/>
        <rFont val="Arial"/>
        <family val="2"/>
      </rPr>
      <t>FY2017</t>
    </r>
  </si>
  <si>
    <r>
      <rPr>
        <b/>
        <sz val="10"/>
        <color theme="1"/>
        <rFont val="Arial"/>
        <family val="2"/>
      </rPr>
      <t>Return on Equity (%)</t>
    </r>
  </si>
  <si>
    <r>
      <rPr>
        <sz val="10"/>
        <color theme="1"/>
        <rFont val="Microsoft Sans Serif"/>
        <family val="2"/>
      </rPr>
      <t>Bajaj Consumer Care Ltd.</t>
    </r>
  </si>
  <si>
    <r>
      <rPr>
        <sz val="10"/>
        <color theme="1"/>
        <rFont val="Microsoft Sans Serif"/>
        <family val="2"/>
      </rPr>
      <t>Dabur India Ltd.</t>
    </r>
  </si>
  <si>
    <r>
      <rPr>
        <sz val="10"/>
        <color theme="1"/>
        <rFont val="Microsoft Sans Serif"/>
        <family val="2"/>
      </rPr>
      <t>Marico Ltd.</t>
    </r>
  </si>
  <si>
    <r>
      <rPr>
        <b/>
        <sz val="10"/>
        <color theme="1"/>
        <rFont val="Arial"/>
        <family val="2"/>
      </rPr>
      <t>Net Profit Margin (%)</t>
    </r>
  </si>
  <si>
    <r>
      <rPr>
        <sz val="10"/>
        <color theme="1"/>
        <rFont val="Microsoft Sans Serif"/>
        <family val="2"/>
      </rPr>
      <t>Bajaj Consumer Care Ltd.</t>
    </r>
  </si>
  <si>
    <r>
      <rPr>
        <sz val="10"/>
        <color theme="1"/>
        <rFont val="Microsoft Sans Serif"/>
        <family val="2"/>
      </rPr>
      <t>Dabur India Ltd.</t>
    </r>
  </si>
  <si>
    <r>
      <rPr>
        <sz val="10"/>
        <color theme="1"/>
        <rFont val="Microsoft Sans Serif"/>
        <family val="2"/>
      </rPr>
      <t>Marico Ltd.</t>
    </r>
  </si>
  <si>
    <r>
      <rPr>
        <b/>
        <sz val="10"/>
        <color theme="1"/>
        <rFont val="Arial"/>
        <family val="2"/>
      </rPr>
      <t>Total Asset Turnover Ratio (Times)</t>
    </r>
  </si>
  <si>
    <r>
      <rPr>
        <sz val="10"/>
        <color theme="1"/>
        <rFont val="Microsoft Sans Serif"/>
        <family val="2"/>
      </rPr>
      <t>Bajaj Consumer Care Ltd.</t>
    </r>
  </si>
  <si>
    <r>
      <rPr>
        <sz val="10"/>
        <color theme="1"/>
        <rFont val="Microsoft Sans Serif"/>
        <family val="2"/>
      </rPr>
      <t>Dabur India Ltd.</t>
    </r>
  </si>
  <si>
    <r>
      <rPr>
        <sz val="10"/>
        <color theme="1"/>
        <rFont val="Microsoft Sans Serif"/>
        <family val="2"/>
      </rPr>
      <t>Marico Ltd.</t>
    </r>
  </si>
  <si>
    <r>
      <rPr>
        <b/>
        <sz val="10"/>
        <color theme="1"/>
        <rFont val="Arial"/>
        <family val="2"/>
      </rPr>
      <t>Total Asset to Equity/ Equity Multiplier/ Leverage (Times)</t>
    </r>
  </si>
  <si>
    <r>
      <rPr>
        <sz val="10"/>
        <color theme="1"/>
        <rFont val="Microsoft Sans Serif"/>
        <family val="2"/>
      </rPr>
      <t>Bajaj Consumer Care Ltd.</t>
    </r>
  </si>
  <si>
    <r>
      <rPr>
        <sz val="10"/>
        <color theme="1"/>
        <rFont val="Microsoft Sans Serif"/>
        <family val="2"/>
      </rPr>
      <t>Dabur India Ltd.</t>
    </r>
  </si>
  <si>
    <r>
      <rPr>
        <sz val="10"/>
        <color theme="1"/>
        <rFont val="Microsoft Sans Serif"/>
        <family val="2"/>
      </rPr>
      <t>Marico Ltd.</t>
    </r>
  </si>
  <si>
    <t>Company Name</t>
  </si>
  <si>
    <t>2012–13</t>
  </si>
  <si>
    <t>2013–14</t>
  </si>
  <si>
    <t>2014–15</t>
  </si>
  <si>
    <t>2015–16</t>
  </si>
  <si>
    <t>2016–17</t>
  </si>
  <si>
    <t>Marico Limited</t>
  </si>
  <si>
    <t>Dabur India Ltd.</t>
  </si>
  <si>
    <t>Bajaj Consumer Care Ltd.</t>
  </si>
  <si>
    <r>
      <rPr>
        <b/>
        <sz val="10"/>
        <color theme="1"/>
        <rFont val="Arial"/>
        <family val="2"/>
      </rPr>
      <t>EXHIBIT 6: CONSOLIDATED INCOME STATEMENT OF BAJAJ CONSUMER CARE LTD (IN ₹ MILLIONS)</t>
    </r>
  </si>
  <si>
    <r>
      <rPr>
        <b/>
        <sz val="10"/>
        <color theme="1"/>
        <rFont val="Calibri"/>
        <family val="2"/>
      </rPr>
      <t>Description/Year</t>
    </r>
  </si>
  <si>
    <r>
      <rPr>
        <b/>
        <sz val="10"/>
        <color theme="1"/>
        <rFont val="Arial"/>
        <family val="2"/>
      </rPr>
      <t>Mar-12</t>
    </r>
  </si>
  <si>
    <r>
      <rPr>
        <b/>
        <sz val="10"/>
        <color theme="1"/>
        <rFont val="Arial"/>
        <family val="2"/>
      </rPr>
      <t>Mar-13</t>
    </r>
  </si>
  <si>
    <r>
      <rPr>
        <b/>
        <sz val="10"/>
        <color theme="1"/>
        <rFont val="Arial"/>
        <family val="2"/>
      </rPr>
      <t>Mar-14</t>
    </r>
  </si>
  <si>
    <r>
      <rPr>
        <b/>
        <sz val="10"/>
        <color theme="1"/>
        <rFont val="Arial"/>
        <family val="2"/>
      </rPr>
      <t>Mar-15</t>
    </r>
  </si>
  <si>
    <r>
      <rPr>
        <b/>
        <sz val="10"/>
        <color theme="1"/>
        <rFont val="Arial"/>
        <family val="2"/>
      </rPr>
      <t>Mar-17</t>
    </r>
  </si>
  <si>
    <r>
      <rPr>
        <sz val="10"/>
        <color theme="1"/>
        <rFont val="Microsoft Sans Serif"/>
        <family val="2"/>
      </rPr>
      <t>Other Income</t>
    </r>
  </si>
  <si>
    <r>
      <rPr>
        <sz val="10"/>
        <color theme="1"/>
        <rFont val="Microsoft Sans Serif"/>
        <family val="2"/>
      </rPr>
      <t>Total Income</t>
    </r>
  </si>
  <si>
    <r>
      <rPr>
        <b/>
        <sz val="10"/>
        <color theme="1"/>
        <rFont val="Arial"/>
        <family val="2"/>
      </rPr>
      <t>Expenses:</t>
    </r>
  </si>
  <si>
    <r>
      <rPr>
        <sz val="10"/>
        <color theme="1"/>
        <rFont val="Microsoft Sans Serif"/>
        <family val="2"/>
      </rPr>
      <t>Cost of Material Consumed</t>
    </r>
  </si>
  <si>
    <r>
      <rPr>
        <sz val="10"/>
        <color theme="1"/>
        <rFont val="Microsoft Sans Serif"/>
        <family val="2"/>
      </rPr>
      <t>Purchase of Stock in Trade</t>
    </r>
  </si>
  <si>
    <r>
      <rPr>
        <sz val="10"/>
        <color theme="1"/>
        <rFont val="Microsoft Sans Serif"/>
        <family val="2"/>
      </rPr>
      <t xml:space="preserve">Changes in Inventories of Finished Goods, Work in
</t>
    </r>
    <r>
      <rPr>
        <sz val="10"/>
        <color theme="1"/>
        <rFont val="Microsoft Sans Serif"/>
        <family val="2"/>
      </rPr>
      <t>Progress, and Traded Goods</t>
    </r>
  </si>
  <si>
    <r>
      <rPr>
        <sz val="10"/>
        <color theme="1"/>
        <rFont val="Microsoft Sans Serif"/>
        <family val="2"/>
      </rPr>
      <t>Employee Benefit Cost</t>
    </r>
  </si>
  <si>
    <r>
      <rPr>
        <sz val="10"/>
        <color theme="1"/>
        <rFont val="Microsoft Sans Serif"/>
        <family val="2"/>
      </rPr>
      <t>Finance Cost</t>
    </r>
  </si>
  <si>
    <r>
      <rPr>
        <sz val="10"/>
        <color theme="1"/>
        <rFont val="Microsoft Sans Serif"/>
        <family val="2"/>
      </rPr>
      <t>Depreciation</t>
    </r>
  </si>
  <si>
    <r>
      <rPr>
        <sz val="10"/>
        <color theme="1"/>
        <rFont val="Microsoft Sans Serif"/>
        <family val="2"/>
      </rPr>
      <t>Other Expenses</t>
    </r>
  </si>
  <si>
    <r>
      <rPr>
        <b/>
        <sz val="10"/>
        <color theme="1"/>
        <rFont val="Arial"/>
        <family val="2"/>
      </rPr>
      <t>Total Expenses</t>
    </r>
  </si>
  <si>
    <r>
      <rPr>
        <sz val="10"/>
        <color theme="1"/>
        <rFont val="Microsoft Sans Serif"/>
        <family val="2"/>
      </rPr>
      <t>Profit Before Exceptional Items</t>
    </r>
  </si>
  <si>
    <r>
      <rPr>
        <sz val="10"/>
        <color theme="1"/>
        <rFont val="Microsoft Sans Serif"/>
        <family val="2"/>
      </rPr>
      <t>Exceptional Income/Expenses</t>
    </r>
  </si>
  <si>
    <r>
      <rPr>
        <sz val="10"/>
        <color theme="1"/>
        <rFont val="Microsoft Sans Serif"/>
        <family val="2"/>
      </rPr>
      <t>Profit Before Tax</t>
    </r>
  </si>
  <si>
    <r>
      <rPr>
        <sz val="10"/>
        <color theme="1"/>
        <rFont val="Microsoft Sans Serif"/>
        <family val="2"/>
      </rPr>
      <t>Current Income Tax</t>
    </r>
  </si>
  <si>
    <r>
      <rPr>
        <sz val="10"/>
        <color theme="1"/>
        <rFont val="Microsoft Sans Serif"/>
        <family val="2"/>
      </rPr>
      <t>Deferred Tax</t>
    </r>
  </si>
  <si>
    <r>
      <rPr>
        <b/>
        <sz val="10"/>
        <color theme="1"/>
        <rFont val="Arial"/>
        <family val="2"/>
      </rPr>
      <t>EXHIBIT 7: CONSOLIDATED CASH FLOW STATEMENT OF BAJAJ CONSUMER CARE LTD (IN ₹ MILLIONS)</t>
    </r>
  </si>
  <si>
    <r>
      <rPr>
        <b/>
        <sz val="10"/>
        <color theme="1"/>
        <rFont val="Arial"/>
        <family val="2"/>
      </rPr>
      <t>Description/Year</t>
    </r>
  </si>
  <si>
    <r>
      <rPr>
        <b/>
        <sz val="10"/>
        <color theme="1"/>
        <rFont val="Arial"/>
        <family val="2"/>
      </rPr>
      <t>Mar-12</t>
    </r>
  </si>
  <si>
    <r>
      <rPr>
        <b/>
        <sz val="10"/>
        <color theme="1"/>
        <rFont val="Arial"/>
        <family val="2"/>
      </rPr>
      <t>Mar-13</t>
    </r>
  </si>
  <si>
    <r>
      <rPr>
        <b/>
        <sz val="10"/>
        <color theme="1"/>
        <rFont val="Arial"/>
        <family val="2"/>
      </rPr>
      <t>Mar-14</t>
    </r>
  </si>
  <si>
    <r>
      <rPr>
        <b/>
        <sz val="10"/>
        <color theme="1"/>
        <rFont val="Arial"/>
        <family val="2"/>
      </rPr>
      <t>Mar-15</t>
    </r>
  </si>
  <si>
    <r>
      <rPr>
        <b/>
        <sz val="10"/>
        <color theme="1"/>
        <rFont val="Arial"/>
        <family val="2"/>
      </rPr>
      <t>Mar-16</t>
    </r>
  </si>
  <si>
    <r>
      <rPr>
        <b/>
        <sz val="10"/>
        <color theme="1"/>
        <rFont val="Arial"/>
        <family val="2"/>
      </rPr>
      <t>Mar-17</t>
    </r>
  </si>
  <si>
    <r>
      <rPr>
        <sz val="10"/>
        <color theme="1"/>
        <rFont val="Microsoft Sans Serif"/>
        <family val="2"/>
      </rPr>
      <t>Profit Before Tax</t>
    </r>
  </si>
  <si>
    <r>
      <rPr>
        <sz val="10"/>
        <color theme="1"/>
        <rFont val="Microsoft Sans Serif"/>
        <family val="2"/>
      </rPr>
      <t>Adjustment</t>
    </r>
  </si>
  <si>
    <r>
      <rPr>
        <sz val="10"/>
        <color theme="1"/>
        <rFont val="Microsoft Sans Serif"/>
        <family val="2"/>
      </rPr>
      <t>Depreciation</t>
    </r>
  </si>
  <si>
    <r>
      <rPr>
        <sz val="10"/>
        <color theme="1"/>
        <rFont val="Microsoft Sans Serif"/>
        <family val="2"/>
      </rPr>
      <t>Interest Expenses</t>
    </r>
  </si>
  <si>
    <r>
      <rPr>
        <sz val="10"/>
        <color theme="1"/>
        <rFont val="Microsoft Sans Serif"/>
        <family val="2"/>
      </rPr>
      <t>Profit/Loss on Sale of Fixed Assets</t>
    </r>
  </si>
  <si>
    <r>
      <rPr>
        <sz val="10"/>
        <color theme="1"/>
        <rFont val="Microsoft Sans Serif"/>
        <family val="2"/>
      </rPr>
      <t>Profit/Loss on Sale of Investments</t>
    </r>
  </si>
  <si>
    <r>
      <rPr>
        <sz val="10"/>
        <color theme="1"/>
        <rFont val="Microsoft Sans Serif"/>
        <family val="2"/>
      </rPr>
      <t>Interest Income</t>
    </r>
  </si>
  <si>
    <r>
      <rPr>
        <sz val="10"/>
        <color theme="1"/>
        <rFont val="Microsoft Sans Serif"/>
        <family val="2"/>
      </rPr>
      <t>Rent Received</t>
    </r>
  </si>
  <si>
    <r>
      <rPr>
        <sz val="10"/>
        <color theme="1"/>
        <rFont val="Microsoft Sans Serif"/>
        <family val="2"/>
      </rPr>
      <t>Excess of Cost over Fair Value of Investments</t>
    </r>
  </si>
  <si>
    <r>
      <rPr>
        <sz val="10"/>
        <color theme="1"/>
        <rFont val="Microsoft Sans Serif"/>
        <family val="2"/>
      </rPr>
      <t>Misc. Expenses Written Off</t>
    </r>
  </si>
  <si>
    <r>
      <rPr>
        <sz val="10"/>
        <color theme="1"/>
        <rFont val="Microsoft Sans Serif"/>
        <family val="2"/>
      </rPr>
      <t>-</t>
    </r>
  </si>
  <si>
    <r>
      <rPr>
        <sz val="10"/>
        <color theme="1"/>
        <rFont val="Microsoft Sans Serif"/>
        <family val="2"/>
      </rPr>
      <t>-</t>
    </r>
  </si>
  <si>
    <r>
      <rPr>
        <sz val="10"/>
        <color theme="1"/>
        <rFont val="Microsoft Sans Serif"/>
        <family val="2"/>
      </rPr>
      <t>Changes in Working Capital</t>
    </r>
  </si>
  <si>
    <r>
      <rPr>
        <sz val="10"/>
        <color theme="1"/>
        <rFont val="Microsoft Sans Serif"/>
        <family val="2"/>
      </rPr>
      <t>Trade &amp; Other Receivables</t>
    </r>
  </si>
  <si>
    <r>
      <rPr>
        <sz val="10"/>
        <color theme="1"/>
        <rFont val="Microsoft Sans Serif"/>
        <family val="2"/>
      </rPr>
      <t>Inventories</t>
    </r>
  </si>
  <si>
    <r>
      <rPr>
        <sz val="10"/>
        <color theme="1"/>
        <rFont val="Microsoft Sans Serif"/>
        <family val="2"/>
      </rPr>
      <t>Loans &amp; Advances</t>
    </r>
  </si>
  <si>
    <r>
      <rPr>
        <sz val="10"/>
        <color theme="1"/>
        <rFont val="Microsoft Sans Serif"/>
        <family val="2"/>
      </rPr>
      <t>-</t>
    </r>
  </si>
  <si>
    <r>
      <rPr>
        <sz val="10"/>
        <color theme="1"/>
        <rFont val="Microsoft Sans Serif"/>
        <family val="2"/>
      </rPr>
      <t>-</t>
    </r>
  </si>
  <si>
    <r>
      <rPr>
        <sz val="10"/>
        <color theme="1"/>
        <rFont val="Microsoft Sans Serif"/>
        <family val="2"/>
      </rPr>
      <t>Trade &amp; Other Payables</t>
    </r>
  </si>
  <si>
    <r>
      <rPr>
        <sz val="10"/>
        <color theme="1"/>
        <rFont val="Microsoft Sans Serif"/>
        <family val="2"/>
      </rPr>
      <t>Cash Flow After Changes in Working Capital</t>
    </r>
  </si>
  <si>
    <r>
      <rPr>
        <sz val="10"/>
        <color theme="1"/>
        <rFont val="Microsoft Sans Serif"/>
        <family val="2"/>
      </rPr>
      <t>Tax Paid</t>
    </r>
  </si>
  <si>
    <r>
      <rPr>
        <b/>
        <sz val="10"/>
        <color theme="1"/>
        <rFont val="Arial"/>
        <family val="2"/>
      </rPr>
      <t>Cash from Operating Activities</t>
    </r>
  </si>
  <si>
    <r>
      <rPr>
        <sz val="10"/>
        <color theme="1"/>
        <rFont val="Microsoft Sans Serif"/>
        <family val="2"/>
      </rPr>
      <t>Purchase of Fixed Assets</t>
    </r>
  </si>
  <si>
    <r>
      <rPr>
        <sz val="10"/>
        <color theme="1"/>
        <rFont val="Microsoft Sans Serif"/>
        <family val="2"/>
      </rPr>
      <t>Profit/Loss on Sale of Fixed Assets</t>
    </r>
  </si>
  <si>
    <r>
      <rPr>
        <sz val="10"/>
        <color theme="1"/>
        <rFont val="Microsoft Sans Serif"/>
        <family val="2"/>
      </rPr>
      <t>Profit/Loss on Sale of Investments</t>
    </r>
  </si>
  <si>
    <r>
      <rPr>
        <sz val="10"/>
        <color theme="1"/>
        <rFont val="Microsoft Sans Serif"/>
        <family val="2"/>
      </rPr>
      <t>Purchase of Investment</t>
    </r>
  </si>
  <si>
    <r>
      <rPr>
        <sz val="10"/>
        <color theme="1"/>
        <rFont val="Microsoft Sans Serif"/>
        <family val="2"/>
      </rPr>
      <t>Sale of Investments</t>
    </r>
  </si>
  <si>
    <r>
      <rPr>
        <sz val="10"/>
        <color theme="1"/>
        <rFont val="Microsoft Sans Serif"/>
        <family val="2"/>
      </rPr>
      <t>Rent Received</t>
    </r>
  </si>
  <si>
    <r>
      <rPr>
        <sz val="10"/>
        <color theme="1"/>
        <rFont val="Microsoft Sans Serif"/>
        <family val="2"/>
      </rPr>
      <t>Interest Received</t>
    </r>
  </si>
  <si>
    <r>
      <rPr>
        <sz val="10"/>
        <color theme="1"/>
        <rFont val="Microsoft Sans Serif"/>
        <family val="2"/>
      </rPr>
      <t>Other Investment Activities</t>
    </r>
  </si>
  <si>
    <r>
      <rPr>
        <b/>
        <sz val="10"/>
        <color theme="1"/>
        <rFont val="Arial"/>
        <family val="2"/>
      </rPr>
      <t>Description/Year</t>
    </r>
  </si>
  <si>
    <r>
      <rPr>
        <b/>
        <sz val="10"/>
        <color theme="1"/>
        <rFont val="Arial"/>
        <family val="2"/>
      </rPr>
      <t>Mar-12</t>
    </r>
  </si>
  <si>
    <r>
      <rPr>
        <b/>
        <sz val="10"/>
        <color theme="1"/>
        <rFont val="Arial"/>
        <family val="2"/>
      </rPr>
      <t>Mar-13</t>
    </r>
  </si>
  <si>
    <r>
      <rPr>
        <b/>
        <sz val="10"/>
        <color theme="1"/>
        <rFont val="Arial"/>
        <family val="2"/>
      </rPr>
      <t>Mar-14</t>
    </r>
  </si>
  <si>
    <r>
      <rPr>
        <b/>
        <sz val="10"/>
        <color theme="1"/>
        <rFont val="Arial"/>
        <family val="2"/>
      </rPr>
      <t>Mar-15</t>
    </r>
  </si>
  <si>
    <r>
      <rPr>
        <b/>
        <sz val="10"/>
        <color theme="1"/>
        <rFont val="Arial"/>
        <family val="2"/>
      </rPr>
      <t>Mar-16</t>
    </r>
  </si>
  <si>
    <r>
      <rPr>
        <b/>
        <sz val="10"/>
        <color theme="1"/>
        <rFont val="Arial"/>
        <family val="2"/>
      </rPr>
      <t>Mar-17</t>
    </r>
  </si>
  <si>
    <r>
      <rPr>
        <b/>
        <sz val="10"/>
        <color theme="1"/>
        <rFont val="Arial"/>
        <family val="2"/>
      </rPr>
      <t>Cash Flow from Investing Activities</t>
    </r>
  </si>
  <si>
    <r>
      <rPr>
        <sz val="10"/>
        <color theme="1"/>
        <rFont val="Microsoft Sans Serif"/>
        <family val="2"/>
      </rPr>
      <t>Equity Dividend Paid</t>
    </r>
  </si>
  <si>
    <r>
      <rPr>
        <sz val="10"/>
        <color theme="1"/>
        <rFont val="Microsoft Sans Serif"/>
        <family val="2"/>
      </rPr>
      <t>Interest Paid</t>
    </r>
  </si>
  <si>
    <r>
      <rPr>
        <sz val="10"/>
        <color theme="1"/>
        <rFont val="Microsoft Sans Serif"/>
        <family val="2"/>
      </rPr>
      <t xml:space="preserve">Net Increase/Decrease in Cash – Export Credit Facilities and
</t>
    </r>
    <r>
      <rPr>
        <sz val="10"/>
        <color theme="1"/>
        <rFont val="Microsoft Sans Serif"/>
        <family val="2"/>
      </rPr>
      <t>Other Short-Term Loans</t>
    </r>
  </si>
  <si>
    <r>
      <rPr>
        <sz val="10"/>
        <color theme="1"/>
        <rFont val="Microsoft Sans Serif"/>
        <family val="2"/>
      </rPr>
      <t>Income Tax on Dividend Paid</t>
    </r>
  </si>
  <si>
    <r>
      <rPr>
        <b/>
        <sz val="10"/>
        <color theme="1"/>
        <rFont val="Arial"/>
        <family val="2"/>
      </rPr>
      <t>Cash from Financing Activities</t>
    </r>
  </si>
  <si>
    <r>
      <rPr>
        <sz val="10"/>
        <color theme="1"/>
        <rFont val="Microsoft Sans Serif"/>
        <family val="2"/>
      </rPr>
      <t>Net Cash Inflow / Outflow</t>
    </r>
  </si>
  <si>
    <r>
      <rPr>
        <sz val="10"/>
        <color theme="1"/>
        <rFont val="Microsoft Sans Serif"/>
        <family val="2"/>
      </rPr>
      <t>Opening Cash &amp; Cash Equivalents</t>
    </r>
  </si>
  <si>
    <r>
      <rPr>
        <sz val="10"/>
        <color theme="1"/>
        <rFont val="Microsoft Sans Serif"/>
        <family val="2"/>
      </rPr>
      <t>Effect of Foreign Exchange Fluctuations</t>
    </r>
  </si>
  <si>
    <r>
      <rPr>
        <sz val="10"/>
        <color theme="1"/>
        <rFont val="Microsoft Sans Serif"/>
        <family val="2"/>
      </rPr>
      <t>Closing Cash &amp; Cash Equivalent</t>
    </r>
  </si>
  <si>
    <r>
      <rPr>
        <sz val="10"/>
        <color theme="1"/>
        <rFont val="Microsoft Sans Serif"/>
        <family val="2"/>
      </rPr>
      <t>Add: Deposit with Maturity of More than Three Months</t>
    </r>
  </si>
  <si>
    <r>
      <rPr>
        <sz val="10"/>
        <color theme="1"/>
        <rFont val="Microsoft Sans Serif"/>
        <family val="2"/>
      </rPr>
      <t>-</t>
    </r>
  </si>
  <si>
    <r>
      <rPr>
        <b/>
        <sz val="10"/>
        <color theme="1"/>
        <rFont val="Arial"/>
        <family val="2"/>
      </rPr>
      <t>Cash as per Balance Sheet</t>
    </r>
  </si>
  <si>
    <t>Revenue</t>
  </si>
  <si>
    <r>
      <rPr>
        <b/>
        <sz val="10"/>
        <color theme="1"/>
        <rFont val="Arial"/>
        <family val="2"/>
      </rPr>
      <t>EXHIBIT 8: CONSOLIDATED BALANCE SHEET OF BAJAJ CONSUMER CARE LTD (IN ₹ MILLIONS)</t>
    </r>
  </si>
  <si>
    <r>
      <rPr>
        <b/>
        <sz val="9"/>
        <color theme="1"/>
        <rFont val="Arial"/>
        <family val="2"/>
      </rPr>
      <t>Description/Year</t>
    </r>
  </si>
  <si>
    <r>
      <rPr>
        <b/>
        <sz val="9"/>
        <color theme="1"/>
        <rFont val="Arial"/>
        <family val="2"/>
      </rPr>
      <t>Mar-2012</t>
    </r>
  </si>
  <si>
    <r>
      <rPr>
        <b/>
        <sz val="9"/>
        <color theme="1"/>
        <rFont val="Arial"/>
        <family val="2"/>
      </rPr>
      <t>Mar-2013</t>
    </r>
  </si>
  <si>
    <r>
      <rPr>
        <b/>
        <sz val="9"/>
        <color theme="1"/>
        <rFont val="Arial"/>
        <family val="2"/>
      </rPr>
      <t>Mar-2014</t>
    </r>
  </si>
  <si>
    <r>
      <rPr>
        <b/>
        <sz val="9"/>
        <color theme="1"/>
        <rFont val="Arial"/>
        <family val="2"/>
      </rPr>
      <t>Mar-2015</t>
    </r>
  </si>
  <si>
    <r>
      <rPr>
        <b/>
        <sz val="9"/>
        <color theme="1"/>
        <rFont val="Arial"/>
        <family val="2"/>
      </rPr>
      <t>Mar-2016</t>
    </r>
  </si>
  <si>
    <r>
      <rPr>
        <b/>
        <sz val="9"/>
        <color theme="1"/>
        <rFont val="Arial"/>
        <family val="2"/>
      </rPr>
      <t>Mar-2017</t>
    </r>
  </si>
  <si>
    <r>
      <rPr>
        <b/>
        <sz val="9"/>
        <color theme="1"/>
        <rFont val="Arial"/>
        <family val="2"/>
      </rPr>
      <t>Equity and Liabilities:</t>
    </r>
  </si>
  <si>
    <r>
      <rPr>
        <b/>
        <sz val="9"/>
        <color theme="1"/>
        <rFont val="Arial"/>
        <family val="2"/>
      </rPr>
      <t>Equity</t>
    </r>
  </si>
  <si>
    <r>
      <rPr>
        <sz val="9"/>
        <color theme="1"/>
        <rFont val="Microsoft Sans Serif"/>
        <family val="2"/>
      </rPr>
      <t>Share Capital</t>
    </r>
  </si>
  <si>
    <r>
      <rPr>
        <sz val="9"/>
        <color theme="1"/>
        <rFont val="Microsoft Sans Serif"/>
        <family val="2"/>
      </rPr>
      <t>Reserves &amp; Surplus</t>
    </r>
  </si>
  <si>
    <r>
      <rPr>
        <b/>
        <sz val="9"/>
        <color theme="1"/>
        <rFont val="Arial"/>
        <family val="2"/>
      </rPr>
      <t>Total Shareholders’ Equity</t>
    </r>
  </si>
  <si>
    <r>
      <rPr>
        <b/>
        <sz val="9"/>
        <color theme="1"/>
        <rFont val="Arial"/>
        <family val="2"/>
      </rPr>
      <t>Non-Current Liabilities</t>
    </r>
  </si>
  <si>
    <r>
      <rPr>
        <sz val="9"/>
        <color theme="1"/>
        <rFont val="Microsoft Sans Serif"/>
        <family val="2"/>
      </rPr>
      <t>Deferred Income Taxes (Liabilities)</t>
    </r>
  </si>
  <si>
    <r>
      <rPr>
        <sz val="9"/>
        <color theme="1"/>
        <rFont val="Microsoft Sans Serif"/>
        <family val="2"/>
      </rPr>
      <t>Debt</t>
    </r>
  </si>
  <si>
    <r>
      <rPr>
        <sz val="9"/>
        <color theme="1"/>
        <rFont val="Microsoft Sans Serif"/>
        <family val="2"/>
      </rPr>
      <t>-</t>
    </r>
  </si>
  <si>
    <r>
      <rPr>
        <sz val="9"/>
        <color theme="1"/>
        <rFont val="Microsoft Sans Serif"/>
        <family val="2"/>
      </rPr>
      <t>-</t>
    </r>
  </si>
  <si>
    <r>
      <rPr>
        <sz val="9"/>
        <color theme="1"/>
        <rFont val="Microsoft Sans Serif"/>
        <family val="2"/>
      </rPr>
      <t>-</t>
    </r>
  </si>
  <si>
    <r>
      <rPr>
        <sz val="9"/>
        <color theme="1"/>
        <rFont val="Microsoft Sans Serif"/>
        <family val="2"/>
      </rPr>
      <t>-</t>
    </r>
  </si>
  <si>
    <r>
      <rPr>
        <b/>
        <sz val="9"/>
        <color theme="1"/>
        <rFont val="Arial"/>
        <family val="2"/>
      </rPr>
      <t>Current Liabilities</t>
    </r>
  </si>
  <si>
    <r>
      <rPr>
        <sz val="9"/>
        <color theme="1"/>
        <rFont val="Microsoft Sans Serif"/>
        <family val="2"/>
      </rPr>
      <t>Provisions</t>
    </r>
  </si>
  <si>
    <r>
      <rPr>
        <sz val="9"/>
        <color theme="1"/>
        <rFont val="Microsoft Sans Serif"/>
        <family val="2"/>
      </rPr>
      <t>Other Current Liabilities</t>
    </r>
  </si>
  <si>
    <r>
      <rPr>
        <sz val="9"/>
        <color theme="1"/>
        <rFont val="Microsoft Sans Serif"/>
        <family val="2"/>
      </rPr>
      <t xml:space="preserve">Trade Payable and Other
</t>
    </r>
    <r>
      <rPr>
        <sz val="9"/>
        <color theme="1"/>
        <rFont val="Microsoft Sans Serif"/>
        <family val="2"/>
      </rPr>
      <t>Payables</t>
    </r>
  </si>
  <si>
    <r>
      <rPr>
        <b/>
        <sz val="9"/>
        <color theme="1"/>
        <rFont val="Arial"/>
        <family val="2"/>
      </rPr>
      <t>Total Liabilities</t>
    </r>
  </si>
  <si>
    <r>
      <rPr>
        <b/>
        <sz val="9"/>
        <color theme="1"/>
        <rFont val="Arial"/>
        <family val="2"/>
      </rPr>
      <t>Total Equity and Liabilities</t>
    </r>
  </si>
  <si>
    <r>
      <rPr>
        <b/>
        <sz val="9"/>
        <color theme="1"/>
        <rFont val="Arial"/>
        <family val="2"/>
      </rPr>
      <t>Assets:</t>
    </r>
  </si>
  <si>
    <r>
      <rPr>
        <b/>
        <sz val="9"/>
        <color theme="1"/>
        <rFont val="Arial"/>
        <family val="2"/>
      </rPr>
      <t>Non-Current Assets</t>
    </r>
  </si>
  <si>
    <r>
      <rPr>
        <sz val="9"/>
        <color theme="1"/>
        <rFont val="Microsoft Sans Serif"/>
        <family val="2"/>
      </rPr>
      <t>Gross Fixed Assets</t>
    </r>
  </si>
  <si>
    <r>
      <rPr>
        <sz val="9"/>
        <color theme="1"/>
        <rFont val="Microsoft Sans Serif"/>
        <family val="2"/>
      </rPr>
      <t>Net Fixed Assets</t>
    </r>
  </si>
  <si>
    <r>
      <rPr>
        <sz val="9"/>
        <color theme="1"/>
        <rFont val="Microsoft Sans Serif"/>
        <family val="2"/>
      </rPr>
      <t>CWIP</t>
    </r>
  </si>
  <si>
    <r>
      <rPr>
        <sz val="9"/>
        <color theme="1"/>
        <rFont val="Microsoft Sans Serif"/>
        <family val="2"/>
      </rPr>
      <t>-</t>
    </r>
  </si>
  <si>
    <r>
      <rPr>
        <sz val="9"/>
        <color theme="1"/>
        <rFont val="Microsoft Sans Serif"/>
        <family val="2"/>
      </rPr>
      <t xml:space="preserve">Long-Term Loans and
</t>
    </r>
    <r>
      <rPr>
        <sz val="9"/>
        <color theme="1"/>
        <rFont val="Microsoft Sans Serif"/>
        <family val="2"/>
      </rPr>
      <t>Other Debtors</t>
    </r>
  </si>
  <si>
    <r>
      <rPr>
        <sz val="9"/>
        <color theme="1"/>
        <rFont val="Microsoft Sans Serif"/>
        <family val="2"/>
      </rPr>
      <t>Non-Current Investments</t>
    </r>
  </si>
  <si>
    <r>
      <rPr>
        <sz val="9"/>
        <color theme="1"/>
        <rFont val="Microsoft Sans Serif"/>
        <family val="2"/>
      </rPr>
      <t>-</t>
    </r>
  </si>
  <si>
    <r>
      <rPr>
        <sz val="9"/>
        <color theme="1"/>
        <rFont val="Microsoft Sans Serif"/>
        <family val="2"/>
      </rPr>
      <t>-</t>
    </r>
  </si>
  <si>
    <r>
      <rPr>
        <sz val="9"/>
        <color theme="1"/>
        <rFont val="Microsoft Sans Serif"/>
        <family val="2"/>
      </rPr>
      <t>-</t>
    </r>
  </si>
  <si>
    <r>
      <rPr>
        <sz val="9"/>
        <color theme="1"/>
        <rFont val="Microsoft Sans Serif"/>
        <family val="2"/>
      </rPr>
      <t>-</t>
    </r>
  </si>
  <si>
    <r>
      <rPr>
        <sz val="9"/>
        <color theme="1"/>
        <rFont val="Microsoft Sans Serif"/>
        <family val="2"/>
      </rPr>
      <t>-</t>
    </r>
  </si>
  <si>
    <r>
      <rPr>
        <sz val="9"/>
        <color theme="1"/>
        <rFont val="Microsoft Sans Serif"/>
        <family val="2"/>
      </rPr>
      <t>-</t>
    </r>
  </si>
  <si>
    <r>
      <rPr>
        <sz val="9"/>
        <color theme="1"/>
        <rFont val="Microsoft Sans Serif"/>
        <family val="2"/>
      </rPr>
      <t>Other Non-Current Assets</t>
    </r>
  </si>
  <si>
    <r>
      <rPr>
        <sz val="9"/>
        <color theme="1"/>
        <rFont val="Microsoft Sans Serif"/>
        <family val="2"/>
      </rPr>
      <t>-</t>
    </r>
  </si>
  <si>
    <r>
      <rPr>
        <sz val="9"/>
        <color theme="1"/>
        <rFont val="Microsoft Sans Serif"/>
        <family val="2"/>
      </rPr>
      <t>-</t>
    </r>
  </si>
  <si>
    <r>
      <rPr>
        <sz val="9"/>
        <color theme="1"/>
        <rFont val="Microsoft Sans Serif"/>
        <family val="2"/>
      </rPr>
      <t>-</t>
    </r>
  </si>
  <si>
    <r>
      <rPr>
        <sz val="9"/>
        <color theme="1"/>
        <rFont val="Microsoft Sans Serif"/>
        <family val="2"/>
      </rPr>
      <t>-</t>
    </r>
  </si>
  <si>
    <r>
      <rPr>
        <b/>
        <sz val="9"/>
        <color theme="1"/>
        <rFont val="Arial"/>
        <family val="2"/>
      </rPr>
      <t>Current Assets</t>
    </r>
  </si>
  <si>
    <r>
      <rPr>
        <sz val="9"/>
        <color theme="1"/>
        <rFont val="Microsoft Sans Serif"/>
        <family val="2"/>
      </rPr>
      <t>Other Current Assets</t>
    </r>
  </si>
  <si>
    <r>
      <rPr>
        <sz val="9"/>
        <color theme="1"/>
        <rFont val="Microsoft Sans Serif"/>
        <family val="2"/>
      </rPr>
      <t xml:space="preserve">Accounts Receivable –
</t>
    </r>
    <r>
      <rPr>
        <sz val="9"/>
        <color theme="1"/>
        <rFont val="Microsoft Sans Serif"/>
        <family val="2"/>
      </rPr>
      <t>Trade</t>
    </r>
  </si>
  <si>
    <r>
      <rPr>
        <sz val="9"/>
        <color theme="1"/>
        <rFont val="Microsoft Sans Serif"/>
        <family val="2"/>
      </rPr>
      <t>Inventories</t>
    </r>
  </si>
  <si>
    <r>
      <rPr>
        <sz val="9"/>
        <color theme="1"/>
        <rFont val="Microsoft Sans Serif"/>
        <family val="2"/>
      </rPr>
      <t>Short-Term Loans</t>
    </r>
  </si>
  <si>
    <r>
      <rPr>
        <sz val="9"/>
        <color theme="1"/>
        <rFont val="Microsoft Sans Serif"/>
        <family val="2"/>
      </rPr>
      <t>-</t>
    </r>
  </si>
  <si>
    <r>
      <rPr>
        <sz val="9"/>
        <color theme="1"/>
        <rFont val="Microsoft Sans Serif"/>
        <family val="2"/>
      </rPr>
      <t>-</t>
    </r>
  </si>
  <si>
    <r>
      <rPr>
        <sz val="9"/>
        <color theme="1"/>
        <rFont val="Microsoft Sans Serif"/>
        <family val="2"/>
      </rPr>
      <t>Cash and Equivalents</t>
    </r>
  </si>
  <si>
    <r>
      <rPr>
        <sz val="9"/>
        <color theme="1"/>
        <rFont val="Microsoft Sans Serif"/>
        <family val="2"/>
      </rPr>
      <t>Current Investments</t>
    </r>
  </si>
  <si>
    <r>
      <rPr>
        <b/>
        <sz val="9"/>
        <color theme="1"/>
        <rFont val="Arial"/>
        <family val="2"/>
      </rPr>
      <t>Total Assets</t>
    </r>
  </si>
  <si>
    <t>International sales</t>
  </si>
  <si>
    <t>Domestic Sales</t>
  </si>
  <si>
    <t>2016-2017</t>
  </si>
  <si>
    <t>2017-2018</t>
  </si>
  <si>
    <t>CAGR for intl. sales</t>
  </si>
  <si>
    <t>2018-2019</t>
  </si>
  <si>
    <t xml:space="preserve">Year </t>
  </si>
  <si>
    <t>2019-2020</t>
  </si>
  <si>
    <t>2020-2021</t>
  </si>
  <si>
    <t>2021-2022</t>
  </si>
  <si>
    <t>EBIT</t>
  </si>
  <si>
    <t>CAGR for intl. sales (first two years)</t>
  </si>
  <si>
    <t>EBIT Margin as of 2017 March</t>
  </si>
  <si>
    <t>Manufacturing cost</t>
  </si>
  <si>
    <t>Employee expense</t>
  </si>
  <si>
    <t>Advertising and promotional expense</t>
  </si>
  <si>
    <t>Other Expenses</t>
  </si>
  <si>
    <t>Depreciation</t>
  </si>
  <si>
    <t>CapEX</t>
  </si>
  <si>
    <t>CAGR for Capex</t>
  </si>
  <si>
    <t>Change in working capital</t>
  </si>
  <si>
    <t>Acc. Recievables</t>
  </si>
  <si>
    <t>Inventories</t>
  </si>
  <si>
    <t>Trade payables</t>
  </si>
  <si>
    <t>NPV</t>
  </si>
  <si>
    <t>Terminal Value of FCFF in 2021-2022</t>
  </si>
  <si>
    <t>Intrinsic value per share</t>
  </si>
  <si>
    <t>WACC</t>
  </si>
  <si>
    <t>Risk free return</t>
  </si>
  <si>
    <t>Market premium</t>
  </si>
  <si>
    <t>Beta</t>
  </si>
  <si>
    <t>#This is based on the 10-year Indian government bond yield in August 2017, representing a risk-free investment.</t>
  </si>
  <si>
    <t>#This is the additional return investors expect for investing in the stock market over the risk-free rate.</t>
  </si>
  <si>
    <t>Cost of debt</t>
  </si>
  <si>
    <t>#This is the estimated interest rate the company would pay on new debt.</t>
  </si>
  <si>
    <t xml:space="preserve">#This represents India's statutory corporate tax rate in 2017. </t>
  </si>
  <si>
    <t>Equity Proportion</t>
  </si>
  <si>
    <t>Debt Proportion</t>
  </si>
  <si>
    <t>#Exhibit 8</t>
  </si>
  <si>
    <t>#Exhibit 6</t>
  </si>
  <si>
    <t>Cost of Equity</t>
  </si>
  <si>
    <t>After tax Cost of Debt</t>
  </si>
  <si>
    <t>Tax Rate</t>
  </si>
  <si>
    <t>#This is a modeling assumption linked to future capital expenditures.</t>
  </si>
  <si>
    <t>Growth Rates</t>
  </si>
  <si>
    <t>Manufacturing costs as % of sales</t>
  </si>
  <si>
    <t>#Assuming 35% since the business will expand and the current years mannufacturing cost is 33.8%</t>
  </si>
  <si>
    <t>Advertising costs</t>
  </si>
  <si>
    <t>#Exhibition 6</t>
  </si>
  <si>
    <t>2022-2023</t>
  </si>
  <si>
    <t>Employee Expenses growth</t>
  </si>
  <si>
    <t>#Assumin employee expense increases due to company expansion</t>
  </si>
  <si>
    <t>Other expenses</t>
  </si>
  <si>
    <t>#Constant</t>
  </si>
  <si>
    <t>Current Accounts Recievable days</t>
  </si>
  <si>
    <t>#We will assume it to reduce by 1 day in subsequent years since the company is planning to improve this factor as mentioned in case study</t>
  </si>
  <si>
    <t>Current Inventory days</t>
  </si>
  <si>
    <t>Current Accounts Payable days</t>
  </si>
  <si>
    <t>#we have considered 20% CapEX in the first two years due to rapid international expense where the company will have to make significant capital expenditures</t>
  </si>
  <si>
    <t>Perpetual Growth rate</t>
  </si>
  <si>
    <t>Base Case</t>
  </si>
  <si>
    <t>Optimistic Case</t>
  </si>
  <si>
    <t>Pessimistic Case</t>
  </si>
  <si>
    <t>Changing Cells:</t>
  </si>
  <si>
    <t>Result Cells:</t>
  </si>
  <si>
    <t>Notes:  Current Values column represents values of changing cells at</t>
  </si>
  <si>
    <t>time Scenario Summary Report was created.  Changing cells for each</t>
  </si>
  <si>
    <t>scenario are highlighted in gray.</t>
  </si>
  <si>
    <t>Created by Kuntal Pyne on 12-10-2025
Modified by Kuntal Pyne on 12-10-2025</t>
  </si>
  <si>
    <t>Highly Pessimistic Case</t>
  </si>
  <si>
    <t>Cost of Debt</t>
  </si>
  <si>
    <t>Terminal Growth Rate</t>
  </si>
  <si>
    <t>Depreciation growth rate</t>
  </si>
  <si>
    <t>Depriciation rate</t>
  </si>
  <si>
    <t>#Average of prior annual depriciation percentage</t>
  </si>
  <si>
    <t>$B$109</t>
  </si>
  <si>
    <t>Created by Kuntal Pyne on 12-10-2025</t>
  </si>
  <si>
    <t>Higly Optimistic Case</t>
  </si>
  <si>
    <t>$B$110</t>
  </si>
  <si>
    <t>Scenario Analysis Summary</t>
  </si>
  <si>
    <t>Depreciation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</si>
</sst>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 #,##0.00;[Red]&quot;₹&quot;\ \-#,##0.00"/>
    <numFmt numFmtId="164" formatCode="#,##0.0"/>
    <numFmt numFmtId="165" formatCode="0.0"/>
    <numFmt numFmtId="166" formatCode="mmm\-d"/>
    <numFmt numFmtId="167" formatCode="0.00_);\(0.00\)"/>
    <numFmt numFmtId="168" formatCode="0.000"/>
    <numFmt numFmtId="169" formatCode="0.0_);\(0.0\)"/>
    <numFmt numFmtId="170" formatCode="#,##0.0_);\(#,##0.0\)"/>
    <numFmt numFmtId="171" formatCode="0.000_);\(0.000\)"/>
    <numFmt numFmtId="172" formatCode="0.0%"/>
    <numFmt numFmtId="173" formatCode="0.000%"/>
    <numFmt numFmtId="174" formatCode="0.0000%"/>
  </numFmts>
  <fonts count="22">
    <font>
      <sz val="10"/>
      <color rgb="FF000000"/>
      <name val="Arial"/>
      <scheme val="minor"/>
    </font>
    <font>
      <sz val="10"/>
      <color theme="1"/>
      <name val="Arial"/>
      <family val="2"/>
      <scheme val="minor"/>
    </font>
    <font>
      <b/>
      <sz val="10"/>
      <color theme="1"/>
      <name val="Arial"/>
      <family val="2"/>
    </font>
    <font>
      <sz val="10"/>
      <color theme="1"/>
      <name val="Times New Roman"/>
      <family val="1"/>
    </font>
    <font>
      <sz val="10"/>
      <name val="Arial"/>
      <family val="2"/>
    </font>
    <font>
      <sz val="10"/>
      <color theme="1"/>
      <name val="Helvetica Neue"/>
    </font>
    <font>
      <b/>
      <sz val="10"/>
      <color theme="1"/>
      <name val="Calibri"/>
      <family val="2"/>
    </font>
    <font>
      <b/>
      <sz val="10"/>
      <color theme="1"/>
      <name val="Arial"/>
      <family val="2"/>
      <scheme val="minor"/>
    </font>
    <font>
      <b/>
      <sz val="9"/>
      <color theme="1"/>
      <name val="Arial"/>
      <family val="2"/>
    </font>
    <font>
      <sz val="9"/>
      <color theme="1"/>
      <name val="Helvetica Neue"/>
    </font>
    <font>
      <sz val="10"/>
      <color theme="1"/>
      <name val="Microsoft Sans Serif"/>
      <family val="2"/>
    </font>
    <font>
      <sz val="9"/>
      <color theme="1"/>
      <name val="Microsoft Sans Serif"/>
      <family val="2"/>
    </font>
    <font>
      <sz val="10"/>
      <color rgb="FF000000"/>
      <name val="Arial"/>
      <family val="2"/>
      <scheme val="minor"/>
    </font>
    <font>
      <b/>
      <sz val="10"/>
      <color rgb="FF000000"/>
      <name val="Arial"/>
      <family val="2"/>
      <scheme val="minor"/>
    </font>
    <font>
      <b/>
      <sz val="11"/>
      <color theme="1"/>
      <name val="Arial"/>
      <family val="2"/>
      <scheme val="minor"/>
    </font>
    <font>
      <b/>
      <i/>
      <sz val="10"/>
      <color rgb="FF000000"/>
      <name val="Arial"/>
      <family val="2"/>
      <scheme val="minor"/>
    </font>
    <font>
      <b/>
      <sz val="11"/>
      <color indexed="9"/>
      <name val="Arial"/>
      <family val="2"/>
      <scheme val="minor"/>
    </font>
    <font>
      <b/>
      <sz val="10"/>
      <color indexed="8"/>
      <name val="Arial"/>
      <family val="2"/>
      <scheme val="minor"/>
    </font>
    <font>
      <b/>
      <sz val="10"/>
      <color indexed="18"/>
      <name val="Arial"/>
      <family val="2"/>
      <scheme val="minor"/>
    </font>
    <font>
      <sz val="9"/>
      <color indexed="9"/>
      <name val="Arial"/>
      <family val="2"/>
      <scheme val="minor"/>
    </font>
    <font>
      <sz val="8"/>
      <color rgb="FF000000"/>
      <name val="Arial"/>
      <family val="2"/>
      <scheme val="minor"/>
    </font>
    <font>
      <b/>
      <sz val="9"/>
      <color indexed="9"/>
      <name val="Arial"/>
      <family val="2"/>
      <scheme val="minor"/>
    </font>
  </fonts>
  <fills count="9">
    <fill>
      <patternFill patternType="none"/>
    </fill>
    <fill>
      <patternFill patternType="gray125"/>
    </fill>
    <fill>
      <patternFill patternType="solid">
        <fgColor rgb="FFFFFF00"/>
        <bgColor rgb="FFFFFF00"/>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2" fillId="0" borderId="0" applyFont="0" applyFill="0" applyBorder="0" applyAlignment="0" applyProtection="0"/>
  </cellStyleXfs>
  <cellXfs count="123">
    <xf numFmtId="0" fontId="0" fillId="0" borderId="0" xfId="0"/>
    <xf numFmtId="0" fontId="1" fillId="0" borderId="0" xfId="0" applyFont="1"/>
    <xf numFmtId="0" fontId="1" fillId="0" borderId="1" xfId="0" applyFont="1" applyBorder="1"/>
    <xf numFmtId="2" fontId="1" fillId="0" borderId="1" xfId="0" applyNumberFormat="1" applyFont="1" applyBorder="1"/>
    <xf numFmtId="164" fontId="1" fillId="0" borderId="1" xfId="0" applyNumberFormat="1" applyFont="1" applyBorder="1"/>
    <xf numFmtId="165" fontId="1" fillId="0" borderId="1" xfId="0" applyNumberFormat="1" applyFont="1" applyBorder="1"/>
    <xf numFmtId="0" fontId="3" fillId="0" borderId="1" xfId="0" applyFont="1" applyBorder="1"/>
    <xf numFmtId="0" fontId="2" fillId="0" borderId="1" xfId="0" applyFont="1" applyBorder="1" applyAlignment="1">
      <alignment horizontal="center" vertical="top" wrapText="1"/>
    </xf>
    <xf numFmtId="0" fontId="3" fillId="0" borderId="0" xfId="0" applyFont="1" applyAlignment="1">
      <alignment vertical="top"/>
    </xf>
    <xf numFmtId="0" fontId="5" fillId="0" borderId="1" xfId="0" applyFont="1" applyBorder="1" applyAlignment="1">
      <alignment vertical="top" wrapText="1"/>
    </xf>
    <xf numFmtId="2" fontId="5" fillId="0" borderId="1" xfId="0" applyNumberFormat="1" applyFont="1" applyBorder="1" applyAlignment="1">
      <alignment horizontal="center" vertical="top"/>
    </xf>
    <xf numFmtId="4" fontId="1" fillId="0" borderId="0" xfId="0" applyNumberFormat="1" applyFont="1"/>
    <xf numFmtId="0" fontId="2" fillId="0" borderId="1" xfId="0" applyFont="1" applyBorder="1" applyAlignment="1">
      <alignment vertical="top" wrapText="1"/>
    </xf>
    <xf numFmtId="2" fontId="5" fillId="0" borderId="3" xfId="0" applyNumberFormat="1" applyFont="1" applyBorder="1" applyAlignment="1">
      <alignment horizontal="right" vertical="top"/>
    </xf>
    <xf numFmtId="4" fontId="5" fillId="0" borderId="3" xfId="0" applyNumberFormat="1" applyFont="1" applyBorder="1" applyAlignment="1">
      <alignment vertical="top"/>
    </xf>
    <xf numFmtId="167" fontId="5" fillId="0" borderId="3" xfId="0" applyNumberFormat="1" applyFont="1" applyBorder="1" applyAlignment="1">
      <alignment horizontal="right" vertical="top"/>
    </xf>
    <xf numFmtId="168" fontId="5" fillId="0" borderId="3" xfId="0" applyNumberFormat="1" applyFont="1" applyBorder="1" applyAlignment="1">
      <alignment horizontal="right" vertical="top"/>
    </xf>
    <xf numFmtId="4" fontId="5" fillId="0" borderId="3" xfId="0" applyNumberFormat="1" applyFont="1" applyBorder="1" applyAlignment="1">
      <alignment horizontal="right" vertical="top"/>
    </xf>
    <xf numFmtId="4" fontId="2" fillId="0" borderId="3" xfId="0" applyNumberFormat="1" applyFont="1" applyBorder="1" applyAlignment="1">
      <alignment horizontal="right" vertical="top"/>
    </xf>
    <xf numFmtId="2" fontId="5" fillId="0" borderId="3" xfId="0" applyNumberFormat="1" applyFont="1" applyBorder="1" applyAlignment="1">
      <alignment vertical="top"/>
    </xf>
    <xf numFmtId="167" fontId="5" fillId="0" borderId="3" xfId="0" applyNumberFormat="1" applyFont="1" applyBorder="1" applyAlignment="1">
      <alignment vertical="top"/>
    </xf>
    <xf numFmtId="164" fontId="5" fillId="0" borderId="1" xfId="0" applyNumberFormat="1" applyFont="1" applyBorder="1" applyAlignment="1">
      <alignment horizontal="right" vertical="top"/>
    </xf>
    <xf numFmtId="169" fontId="5" fillId="0" borderId="1" xfId="0" applyNumberFormat="1" applyFont="1" applyBorder="1" applyAlignment="1">
      <alignment horizontal="right" vertical="top"/>
    </xf>
    <xf numFmtId="165" fontId="5" fillId="0" borderId="1" xfId="0" applyNumberFormat="1" applyFont="1" applyBorder="1" applyAlignment="1">
      <alignment horizontal="right" vertical="top"/>
    </xf>
    <xf numFmtId="0" fontId="5" fillId="0" borderId="1" xfId="0" applyFont="1" applyBorder="1" applyAlignment="1">
      <alignment horizontal="right" vertical="top" wrapText="1"/>
    </xf>
    <xf numFmtId="165" fontId="2" fillId="0" borderId="1" xfId="0" applyNumberFormat="1" applyFont="1" applyBorder="1" applyAlignment="1">
      <alignment horizontal="right" vertical="top"/>
    </xf>
    <xf numFmtId="170" fontId="5" fillId="0" borderId="1" xfId="0" applyNumberFormat="1" applyFont="1" applyBorder="1" applyAlignment="1">
      <alignment horizontal="right" vertical="top"/>
    </xf>
    <xf numFmtId="171" fontId="5" fillId="0" borderId="1" xfId="0" applyNumberFormat="1" applyFont="1" applyBorder="1" applyAlignment="1">
      <alignment horizontal="right" vertical="top"/>
    </xf>
    <xf numFmtId="168" fontId="5" fillId="0" borderId="1" xfId="0" applyNumberFormat="1" applyFont="1" applyBorder="1" applyAlignment="1">
      <alignment horizontal="right" vertical="top"/>
    </xf>
    <xf numFmtId="169" fontId="2" fillId="0" borderId="1" xfId="0" applyNumberFormat="1" applyFont="1" applyBorder="1" applyAlignment="1">
      <alignment horizontal="right" vertical="top"/>
    </xf>
    <xf numFmtId="0" fontId="3" fillId="0" borderId="1" xfId="0" applyFont="1" applyBorder="1" applyAlignment="1">
      <alignment vertical="top" wrapText="1"/>
    </xf>
    <xf numFmtId="170" fontId="2" fillId="0" borderId="1" xfId="0" applyNumberFormat="1" applyFont="1" applyBorder="1" applyAlignment="1">
      <alignment horizontal="right" vertical="top"/>
    </xf>
    <xf numFmtId="4" fontId="5" fillId="0" borderId="1" xfId="0" applyNumberFormat="1" applyFont="1" applyBorder="1" applyAlignment="1">
      <alignment horizontal="right" vertical="top"/>
    </xf>
    <xf numFmtId="0" fontId="7" fillId="2" borderId="0" xfId="0" applyFont="1" applyFill="1"/>
    <xf numFmtId="165" fontId="7" fillId="2" borderId="0" xfId="0" applyNumberFormat="1" applyFont="1" applyFill="1"/>
    <xf numFmtId="0" fontId="8" fillId="0" borderId="1" xfId="0" applyFont="1" applyBorder="1" applyAlignment="1">
      <alignment vertical="top" wrapText="1"/>
    </xf>
    <xf numFmtId="165" fontId="9" fillId="0" borderId="1" xfId="0" applyNumberFormat="1" applyFont="1" applyBorder="1" applyAlignment="1">
      <alignment horizontal="right" vertical="top"/>
    </xf>
    <xf numFmtId="164" fontId="9" fillId="0" borderId="1" xfId="0" applyNumberFormat="1" applyFont="1" applyBorder="1" applyAlignment="1">
      <alignment horizontal="right" vertical="top"/>
    </xf>
    <xf numFmtId="164" fontId="8" fillId="0" borderId="1" xfId="0" applyNumberFormat="1" applyFont="1" applyBorder="1" applyAlignment="1">
      <alignment horizontal="right" vertical="top"/>
    </xf>
    <xf numFmtId="165" fontId="8" fillId="0" borderId="1" xfId="0" applyNumberFormat="1" applyFont="1" applyBorder="1" applyAlignment="1">
      <alignment horizontal="right" vertical="top"/>
    </xf>
    <xf numFmtId="0" fontId="9" fillId="0" borderId="1" xfId="0" applyFont="1" applyBorder="1" applyAlignment="1">
      <alignment horizontal="right" vertical="top" wrapText="1"/>
    </xf>
    <xf numFmtId="0" fontId="2" fillId="0" borderId="2" xfId="0" applyFont="1" applyBorder="1" applyAlignment="1">
      <alignment vertical="top" wrapText="1"/>
    </xf>
    <xf numFmtId="0" fontId="4" fillId="0" borderId="3" xfId="0" applyFont="1" applyBorder="1"/>
    <xf numFmtId="0" fontId="5" fillId="0" borderId="2" xfId="0" applyFont="1" applyBorder="1" applyAlignment="1">
      <alignment vertical="top" wrapText="1"/>
    </xf>
    <xf numFmtId="0" fontId="3" fillId="0" borderId="2" xfId="0" applyFont="1" applyBorder="1" applyAlignment="1">
      <alignment vertical="top" wrapText="1"/>
    </xf>
    <xf numFmtId="0" fontId="2" fillId="0" borderId="0" xfId="0" applyFont="1" applyAlignment="1">
      <alignment vertical="top" wrapText="1"/>
    </xf>
    <xf numFmtId="0" fontId="6" fillId="0" borderId="2" xfId="0" applyFont="1" applyBorder="1" applyAlignment="1">
      <alignment vertical="top" wrapText="1"/>
    </xf>
    <xf numFmtId="166" fontId="2" fillId="0" borderId="2" xfId="0" applyNumberFormat="1" applyFont="1" applyBorder="1" applyAlignment="1">
      <alignment vertical="top" wrapText="1"/>
    </xf>
    <xf numFmtId="0" fontId="3" fillId="0" borderId="2" xfId="0" applyFont="1" applyBorder="1"/>
    <xf numFmtId="168" fontId="5" fillId="0" borderId="3" xfId="0" applyNumberFormat="1" applyFont="1" applyBorder="1" applyAlignment="1">
      <alignment vertical="top"/>
    </xf>
    <xf numFmtId="10" fontId="0" fillId="0" borderId="0" xfId="0" applyNumberFormat="1"/>
    <xf numFmtId="10" fontId="0" fillId="0" borderId="0" xfId="1" applyNumberFormat="1" applyFont="1"/>
    <xf numFmtId="0" fontId="7" fillId="0" borderId="0" xfId="0" applyFont="1"/>
    <xf numFmtId="0" fontId="13" fillId="0" borderId="0" xfId="0" applyFont="1"/>
    <xf numFmtId="10" fontId="3" fillId="0" borderId="0" xfId="1" applyNumberFormat="1" applyFont="1" applyAlignment="1">
      <alignment vertical="top"/>
    </xf>
    <xf numFmtId="165" fontId="0" fillId="0" borderId="0" xfId="0" applyNumberFormat="1"/>
    <xf numFmtId="0" fontId="13" fillId="0" borderId="5" xfId="0" applyFont="1" applyBorder="1"/>
    <xf numFmtId="0" fontId="0" fillId="0" borderId="5" xfId="0" applyBorder="1"/>
    <xf numFmtId="165" fontId="0" fillId="0" borderId="5" xfId="0" applyNumberFormat="1" applyBorder="1"/>
    <xf numFmtId="2" fontId="0" fillId="0" borderId="5" xfId="0" applyNumberFormat="1" applyBorder="1"/>
    <xf numFmtId="10" fontId="0" fillId="0" borderId="5" xfId="0" applyNumberFormat="1" applyBorder="1"/>
    <xf numFmtId="10" fontId="0" fillId="0" borderId="5" xfId="1" applyNumberFormat="1" applyFont="1" applyBorder="1"/>
    <xf numFmtId="9" fontId="0" fillId="0" borderId="0" xfId="0" applyNumberFormat="1"/>
    <xf numFmtId="0" fontId="15" fillId="0" borderId="0" xfId="0" applyFont="1"/>
    <xf numFmtId="9" fontId="13" fillId="0" borderId="5" xfId="0" applyNumberFormat="1" applyFont="1" applyBorder="1"/>
    <xf numFmtId="10" fontId="13" fillId="0" borderId="5" xfId="0" applyNumberFormat="1" applyFont="1" applyBorder="1"/>
    <xf numFmtId="9" fontId="0" fillId="0" borderId="5" xfId="0" applyNumberFormat="1" applyBorder="1"/>
    <xf numFmtId="10" fontId="0" fillId="0" borderId="9" xfId="0" applyNumberFormat="1" applyBorder="1"/>
    <xf numFmtId="9" fontId="0" fillId="0" borderId="9" xfId="0" applyNumberFormat="1" applyBorder="1"/>
    <xf numFmtId="10" fontId="0" fillId="0" borderId="11" xfId="0" applyNumberFormat="1" applyBorder="1"/>
    <xf numFmtId="0" fontId="7" fillId="3" borderId="5" xfId="0" applyFont="1" applyFill="1" applyBorder="1"/>
    <xf numFmtId="0" fontId="13" fillId="3" borderId="5" xfId="0" applyFont="1" applyFill="1" applyBorder="1"/>
    <xf numFmtId="4" fontId="0" fillId="3" borderId="5" xfId="0" applyNumberFormat="1" applyFill="1" applyBorder="1"/>
    <xf numFmtId="0" fontId="0" fillId="3" borderId="5" xfId="0" applyFill="1" applyBorder="1"/>
    <xf numFmtId="9" fontId="0" fillId="0" borderId="7" xfId="0" applyNumberFormat="1" applyBorder="1"/>
    <xf numFmtId="172" fontId="0" fillId="0" borderId="9" xfId="0" applyNumberFormat="1" applyBorder="1"/>
    <xf numFmtId="0" fontId="7" fillId="3" borderId="6" xfId="0" applyFont="1" applyFill="1" applyBorder="1"/>
    <xf numFmtId="0" fontId="7" fillId="3" borderId="8" xfId="0" applyFont="1" applyFill="1" applyBorder="1"/>
    <xf numFmtId="0" fontId="7" fillId="3" borderId="10" xfId="0" applyFont="1" applyFill="1" applyBorder="1"/>
    <xf numFmtId="0" fontId="14" fillId="4" borderId="6" xfId="0" applyFont="1" applyFill="1" applyBorder="1"/>
    <xf numFmtId="0" fontId="0" fillId="4" borderId="7" xfId="0" applyFill="1" applyBorder="1"/>
    <xf numFmtId="172" fontId="0" fillId="0" borderId="5" xfId="0" applyNumberFormat="1" applyBorder="1"/>
    <xf numFmtId="2" fontId="0" fillId="0" borderId="7" xfId="0" applyNumberFormat="1" applyBorder="1"/>
    <xf numFmtId="2" fontId="0" fillId="0" borderId="9" xfId="0" applyNumberFormat="1" applyBorder="1"/>
    <xf numFmtId="2" fontId="0" fillId="0" borderId="11" xfId="0" applyNumberFormat="1" applyBorder="1"/>
    <xf numFmtId="0" fontId="13" fillId="5" borderId="6" xfId="0" applyFont="1" applyFill="1" applyBorder="1"/>
    <xf numFmtId="8" fontId="0" fillId="5" borderId="7" xfId="0" applyNumberFormat="1" applyFill="1" applyBorder="1"/>
    <xf numFmtId="0" fontId="13" fillId="5" borderId="10" xfId="0" applyFont="1" applyFill="1" applyBorder="1"/>
    <xf numFmtId="8" fontId="0" fillId="5" borderId="11" xfId="0" applyNumberFormat="1" applyFill="1" applyBorder="1"/>
    <xf numFmtId="0" fontId="7" fillId="5" borderId="5" xfId="0" applyFont="1" applyFill="1" applyBorder="1"/>
    <xf numFmtId="0" fontId="13" fillId="5" borderId="5" xfId="0" applyFont="1" applyFill="1" applyBorder="1"/>
    <xf numFmtId="0" fontId="0" fillId="5" borderId="5" xfId="0" applyFill="1" applyBorder="1"/>
    <xf numFmtId="165" fontId="3" fillId="0" borderId="0" xfId="0" applyNumberFormat="1" applyFont="1" applyAlignment="1">
      <alignment vertical="top"/>
    </xf>
    <xf numFmtId="164" fontId="3" fillId="0" borderId="0" xfId="0" applyNumberFormat="1" applyFont="1" applyAlignment="1">
      <alignment vertical="top"/>
    </xf>
    <xf numFmtId="164" fontId="0" fillId="0" borderId="0" xfId="0" applyNumberFormat="1"/>
    <xf numFmtId="0" fontId="3" fillId="0" borderId="0" xfId="1" applyNumberFormat="1" applyFont="1" applyAlignment="1">
      <alignment vertical="top"/>
    </xf>
    <xf numFmtId="173" fontId="0" fillId="0" borderId="0" xfId="0" applyNumberFormat="1"/>
    <xf numFmtId="174" fontId="0" fillId="0" borderId="0" xfId="0" applyNumberFormat="1"/>
    <xf numFmtId="0" fontId="16" fillId="6" borderId="5" xfId="0" applyFont="1" applyFill="1" applyBorder="1" applyAlignment="1">
      <alignment horizontal="left"/>
    </xf>
    <xf numFmtId="0" fontId="19" fillId="6" borderId="5" xfId="0" applyFont="1" applyFill="1" applyBorder="1" applyAlignment="1">
      <alignment horizontal="right"/>
    </xf>
    <xf numFmtId="0" fontId="17" fillId="7" borderId="5" xfId="0" applyFont="1" applyFill="1" applyBorder="1" applyAlignment="1">
      <alignment horizontal="left"/>
    </xf>
    <xf numFmtId="0" fontId="20" fillId="0" borderId="5" xfId="0" applyFont="1" applyBorder="1" applyAlignment="1">
      <alignment vertical="top" wrapText="1"/>
    </xf>
    <xf numFmtId="0" fontId="18" fillId="7" borderId="5" xfId="0" applyFont="1" applyFill="1" applyBorder="1" applyAlignment="1">
      <alignment horizontal="left"/>
    </xf>
    <xf numFmtId="10" fontId="0" fillId="8" borderId="5" xfId="0" applyNumberFormat="1" applyFill="1" applyBorder="1"/>
    <xf numFmtId="172" fontId="0" fillId="8" borderId="5" xfId="0" applyNumberFormat="1" applyFill="1" applyBorder="1"/>
    <xf numFmtId="0" fontId="17" fillId="7" borderId="5" xfId="0" applyFont="1" applyFill="1" applyBorder="1" applyAlignment="1">
      <alignment horizontal="left" wrapText="1"/>
    </xf>
    <xf numFmtId="8" fontId="0" fillId="0" borderId="5" xfId="0" applyNumberFormat="1" applyBorder="1"/>
    <xf numFmtId="0" fontId="21" fillId="6" borderId="5" xfId="0" applyFont="1" applyFill="1" applyBorder="1" applyAlignment="1">
      <alignment horizontal="right"/>
    </xf>
    <xf numFmtId="0" fontId="2" fillId="0" borderId="0" xfId="0" applyFont="1" applyAlignment="1">
      <alignment horizontal="center" vertical="top" wrapText="1"/>
    </xf>
    <xf numFmtId="0" fontId="0" fillId="0" borderId="0" xfId="0"/>
    <xf numFmtId="0" fontId="2" fillId="0" borderId="2" xfId="0" applyFont="1" applyBorder="1" applyAlignment="1">
      <alignment vertical="top" wrapText="1"/>
    </xf>
    <xf numFmtId="0" fontId="4" fillId="0" borderId="3" xfId="0" applyFont="1" applyBorder="1"/>
    <xf numFmtId="0" fontId="4" fillId="0" borderId="4" xfId="0" applyFont="1" applyBorder="1"/>
    <xf numFmtId="0" fontId="3" fillId="0" borderId="2" xfId="0" applyFont="1" applyBorder="1" applyAlignment="1">
      <alignment vertical="top" wrapText="1"/>
    </xf>
    <xf numFmtId="165" fontId="9" fillId="0" borderId="2" xfId="0" applyNumberFormat="1" applyFont="1" applyBorder="1" applyAlignment="1">
      <alignment horizontal="right" vertical="top"/>
    </xf>
    <xf numFmtId="0" fontId="9" fillId="0" borderId="2" xfId="0" applyFont="1" applyBorder="1" applyAlignment="1">
      <alignment vertical="top" wrapText="1"/>
    </xf>
    <xf numFmtId="164" fontId="8" fillId="0" borderId="2" xfId="0" applyNumberFormat="1" applyFont="1" applyBorder="1" applyAlignment="1">
      <alignment horizontal="right" vertical="top"/>
    </xf>
    <xf numFmtId="164" fontId="9" fillId="0" borderId="2" xfId="0" applyNumberFormat="1" applyFont="1" applyBorder="1" applyAlignment="1">
      <alignment horizontal="right" vertical="top"/>
    </xf>
    <xf numFmtId="0" fontId="8" fillId="0" borderId="2" xfId="0" applyFont="1" applyBorder="1" applyAlignment="1">
      <alignment vertical="top" wrapText="1"/>
    </xf>
    <xf numFmtId="0" fontId="9" fillId="0" borderId="2" xfId="0" applyFont="1" applyBorder="1" applyAlignment="1">
      <alignment horizontal="right" vertical="top" wrapText="1"/>
    </xf>
    <xf numFmtId="0" fontId="3" fillId="0" borderId="2" xfId="0" applyFont="1" applyBorder="1"/>
    <xf numFmtId="0" fontId="2" fillId="0" borderId="0" xfId="0" applyFont="1" applyAlignment="1">
      <alignment vertical="top" wrapText="1"/>
    </xf>
    <xf numFmtId="165" fontId="8" fillId="0" borderId="2" xfId="0" applyNumberFormat="1" applyFont="1" applyBorder="1" applyAlignment="1">
      <alignment horizontal="righ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167640</xdr:colOff>
      <xdr:row>74</xdr:row>
      <xdr:rowOff>30480</xdr:rowOff>
    </xdr:from>
    <xdr:to>
      <xdr:col>4</xdr:col>
      <xdr:colOff>121920</xdr:colOff>
      <xdr:row>79</xdr:row>
      <xdr:rowOff>30480</xdr:rowOff>
    </xdr:to>
    <xdr:sp macro="" textlink="">
      <xdr:nvSpPr>
        <xdr:cNvPr id="2" name="Rectangle: Rounded Corners 1">
          <a:extLst>
            <a:ext uri="{FF2B5EF4-FFF2-40B4-BE49-F238E27FC236}">
              <a16:creationId xmlns:a16="http://schemas.microsoft.com/office/drawing/2014/main" id="{C1380DAF-3AE7-0AA7-C5BF-7C9DAF7D67CF}"/>
            </a:ext>
          </a:extLst>
        </xdr:cNvPr>
        <xdr:cNvSpPr/>
      </xdr:nvSpPr>
      <xdr:spPr>
        <a:xfrm>
          <a:off x="4305300" y="12801600"/>
          <a:ext cx="2583180" cy="9906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Assuming since rapid expansion in the first two years thats why increase in adv</a:t>
          </a:r>
          <a:r>
            <a:rPr lang="en-IN" sz="1100" b="0" cap="none" spc="0" baseline="0">
              <a:ln w="0"/>
              <a:solidFill>
                <a:schemeClr val="tx1"/>
              </a:solidFill>
              <a:effectLst>
                <a:outerShdw blurRad="38100" dist="19050" dir="2700000" algn="tl" rotWithShape="0">
                  <a:schemeClr val="dk1">
                    <a:alpha val="40000"/>
                  </a:schemeClr>
                </a:outerShdw>
              </a:effectLst>
            </a:rPr>
            <a:t> costing then reverting back to 13.4% in the later 3 years</a:t>
          </a:r>
        </a:p>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7620</xdr:colOff>
      <xdr:row>46</xdr:row>
      <xdr:rowOff>76200</xdr:rowOff>
    </xdr:from>
    <xdr:to>
      <xdr:col>2</xdr:col>
      <xdr:colOff>472440</xdr:colOff>
      <xdr:row>49</xdr:row>
      <xdr:rowOff>121920</xdr:rowOff>
    </xdr:to>
    <xdr:sp macro="" textlink="">
      <xdr:nvSpPr>
        <xdr:cNvPr id="3" name="Rectangle: Rounded Corners 2">
          <a:extLst>
            <a:ext uri="{FF2B5EF4-FFF2-40B4-BE49-F238E27FC236}">
              <a16:creationId xmlns:a16="http://schemas.microsoft.com/office/drawing/2014/main" id="{B566DA00-CAE7-03CD-1AD5-1BA2FDCA78F3}"/>
            </a:ext>
          </a:extLst>
        </xdr:cNvPr>
        <xdr:cNvSpPr/>
      </xdr:nvSpPr>
      <xdr:spPr>
        <a:xfrm>
          <a:off x="7620" y="8549640"/>
          <a:ext cx="4602480" cy="6400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cap="none" spc="0">
              <a:ln w="22225">
                <a:solidFill>
                  <a:schemeClr val="accent2"/>
                </a:solidFill>
                <a:prstDash val="solid"/>
              </a:ln>
              <a:solidFill>
                <a:schemeClr val="accent2">
                  <a:lumMod val="40000"/>
                  <a:lumOff val="60000"/>
                </a:schemeClr>
              </a:solidFill>
              <a:effectLst/>
            </a:rPr>
            <a:t>Ques 3) DCF VALUATION </a:t>
          </a:r>
        </a:p>
      </xdr:txBody>
    </xdr:sp>
    <xdr:clientData/>
  </xdr:twoCellAnchor>
  <xdr:twoCellAnchor>
    <xdr:from>
      <xdr:col>0</xdr:col>
      <xdr:colOff>137160</xdr:colOff>
      <xdr:row>112</xdr:row>
      <xdr:rowOff>83820</xdr:rowOff>
    </xdr:from>
    <xdr:to>
      <xdr:col>2</xdr:col>
      <xdr:colOff>312420</xdr:colOff>
      <xdr:row>121</xdr:row>
      <xdr:rowOff>7620</xdr:rowOff>
    </xdr:to>
    <xdr:sp macro="" textlink="">
      <xdr:nvSpPr>
        <xdr:cNvPr id="5" name="Rectangle: Rounded Corners 4">
          <a:extLst>
            <a:ext uri="{FF2B5EF4-FFF2-40B4-BE49-F238E27FC236}">
              <a16:creationId xmlns:a16="http://schemas.microsoft.com/office/drawing/2014/main" id="{9379F844-CFFF-54E3-CAE0-B9460469544E}"/>
            </a:ext>
          </a:extLst>
        </xdr:cNvPr>
        <xdr:cNvSpPr/>
      </xdr:nvSpPr>
      <xdr:spPr>
        <a:xfrm>
          <a:off x="137160" y="20977860"/>
          <a:ext cx="4312920" cy="17068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0" cap="none" spc="0">
              <a:ln w="0"/>
              <a:solidFill>
                <a:schemeClr val="tx1"/>
              </a:solidFill>
              <a:effectLst>
                <a:outerShdw blurRad="38100" dist="19050" dir="2700000" algn="tl" rotWithShape="0">
                  <a:schemeClr val="dk1">
                    <a:alpha val="40000"/>
                  </a:schemeClr>
                </a:outerShdw>
              </a:effectLst>
            </a:rPr>
            <a:t>For Question 4 Scenario</a:t>
          </a:r>
          <a:r>
            <a:rPr lang="en-IN" sz="1400" b="0" cap="none" spc="0" baseline="0">
              <a:ln w="0"/>
              <a:solidFill>
                <a:schemeClr val="tx1"/>
              </a:solidFill>
              <a:effectLst>
                <a:outerShdw blurRad="38100" dist="19050" dir="2700000" algn="tl" rotWithShape="0">
                  <a:schemeClr val="dk1">
                    <a:alpha val="40000"/>
                  </a:schemeClr>
                </a:outerShdw>
              </a:effectLst>
            </a:rPr>
            <a:t> Analysis, please check the scenario manager in this sheet. The summary of the different scenarios and the overall effect on the NPV and intrinsic value per share has been presented in the sheet: Scenario Analysis (Question 4)</a:t>
          </a:r>
          <a:endParaRPr lang="en-IN"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64B4-F6CB-49C4-8DD9-52D1CECEFD74}">
  <dimension ref="A1"/>
  <sheetViews>
    <sheetView workbookViewId="0">
      <selection activeCell="A2" sqref="A2"/>
    </sheetView>
  </sheetViews>
  <sheetFormatPr defaultRowHeight="13.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3"/>
  <sheetViews>
    <sheetView workbookViewId="0">
      <selection activeCell="E25" sqref="E25"/>
    </sheetView>
  </sheetViews>
  <sheetFormatPr defaultColWidth="12.6640625" defaultRowHeight="15.75" customHeight="1"/>
  <cols>
    <col min="1" max="1" width="21.6640625" customWidth="1"/>
  </cols>
  <sheetData>
    <row r="1" spans="1:4" ht="15.75" customHeight="1">
      <c r="A1" s="1" t="s">
        <v>2</v>
      </c>
    </row>
    <row r="3" spans="1:4" ht="15.75" customHeight="1">
      <c r="A3" s="1" t="s">
        <v>3</v>
      </c>
    </row>
    <row r="5" spans="1:4" ht="15.75" customHeight="1">
      <c r="A5" s="1" t="s">
        <v>4</v>
      </c>
    </row>
    <row r="7" spans="1:4" ht="15.75" customHeight="1">
      <c r="A7" s="1" t="s">
        <v>5</v>
      </c>
    </row>
    <row r="9" spans="1:4" ht="15.75" customHeight="1">
      <c r="A9" s="2"/>
      <c r="B9" s="2" t="s">
        <v>6</v>
      </c>
      <c r="C9" s="2" t="s">
        <v>7</v>
      </c>
      <c r="D9" s="2" t="s">
        <v>8</v>
      </c>
    </row>
    <row r="10" spans="1:4" ht="15.75" customHeight="1">
      <c r="A10" s="2" t="s">
        <v>9</v>
      </c>
      <c r="B10" s="3">
        <f>'Exhibit 4'!F8</f>
        <v>26.1</v>
      </c>
      <c r="C10" s="3">
        <f>'Exhibit 4'!F9</f>
        <v>16.62</v>
      </c>
      <c r="D10" s="3">
        <f>'Exhibit 4'!F10</f>
        <v>13.68</v>
      </c>
    </row>
    <row r="11" spans="1:4" ht="15.75" customHeight="1">
      <c r="A11" s="2" t="s">
        <v>10</v>
      </c>
      <c r="B11" s="3">
        <f>'Exhibit 4'!F4</f>
        <v>44.16</v>
      </c>
      <c r="C11" s="3">
        <f>'Exhibit 4'!F5</f>
        <v>29.02</v>
      </c>
      <c r="D11" s="3">
        <f>'Exhibit 4'!F6</f>
        <v>37.51</v>
      </c>
    </row>
    <row r="12" spans="1:4" ht="15.75" customHeight="1">
      <c r="A12" s="1"/>
    </row>
    <row r="13" spans="1:4" ht="15.75" customHeight="1">
      <c r="A13" s="1" t="s">
        <v>11</v>
      </c>
    </row>
    <row r="15" spans="1:4" ht="15.75" customHeight="1">
      <c r="A15" s="1" t="s">
        <v>12</v>
      </c>
    </row>
    <row r="17" spans="1:4" ht="15.75" customHeight="1">
      <c r="A17" s="1" t="s">
        <v>13</v>
      </c>
    </row>
    <row r="19" spans="1:4" ht="15.75" customHeight="1">
      <c r="A19" s="2"/>
      <c r="B19" s="2" t="s">
        <v>6</v>
      </c>
      <c r="C19" s="2" t="s">
        <v>7</v>
      </c>
      <c r="D19" s="2" t="s">
        <v>8</v>
      </c>
    </row>
    <row r="20" spans="1:4" ht="15.75" customHeight="1">
      <c r="A20" s="2" t="s">
        <v>9</v>
      </c>
      <c r="B20" s="3">
        <f>'Exhibit 4'!F8</f>
        <v>26.1</v>
      </c>
      <c r="C20" s="3">
        <f>'Exhibit 4'!F9</f>
        <v>16.62</v>
      </c>
      <c r="D20" s="3">
        <f>'Exhibit 4'!F10</f>
        <v>13.68</v>
      </c>
    </row>
    <row r="21" spans="1:4" ht="15.75" customHeight="1">
      <c r="A21" s="2" t="s">
        <v>10</v>
      </c>
      <c r="B21" s="3">
        <f>'Exhibit 4'!F4</f>
        <v>44.16</v>
      </c>
      <c r="C21" s="3">
        <f>'Exhibit 4'!F5</f>
        <v>29.02</v>
      </c>
      <c r="D21" s="3">
        <f>'Exhibit 4'!F6</f>
        <v>37.51</v>
      </c>
    </row>
    <row r="23" spans="1:4" ht="15.75" customHeight="1">
      <c r="A23" s="1" t="s">
        <v>14</v>
      </c>
    </row>
    <row r="25" spans="1:4" ht="15.75" customHeight="1">
      <c r="A25" s="2"/>
      <c r="B25" s="2" t="s">
        <v>6</v>
      </c>
    </row>
    <row r="26" spans="1:4" ht="15.75" customHeight="1">
      <c r="A26" s="2" t="s">
        <v>15</v>
      </c>
      <c r="B26" s="4">
        <f>'Exhibit 8'!M31</f>
        <v>3385.4</v>
      </c>
    </row>
    <row r="27" spans="1:4" ht="15.75" customHeight="1">
      <c r="A27" s="2" t="s">
        <v>16</v>
      </c>
      <c r="B27" s="5">
        <f>'Exhibit 8'!M15</f>
        <v>953.5</v>
      </c>
    </row>
    <row r="28" spans="1:4" ht="15.75" customHeight="1">
      <c r="A28" s="2" t="s">
        <v>17</v>
      </c>
      <c r="B28" s="2">
        <f>B26/B27</f>
        <v>3.5504981646565286</v>
      </c>
    </row>
    <row r="30" spans="1:4" ht="15.75" customHeight="1">
      <c r="A30" s="1" t="s">
        <v>18</v>
      </c>
    </row>
    <row r="32" spans="1:4" ht="15.75" customHeight="1">
      <c r="A32" s="2"/>
      <c r="B32" s="2" t="s">
        <v>6</v>
      </c>
    </row>
    <row r="33" spans="1:10" ht="15.75" customHeight="1">
      <c r="A33" s="2" t="s">
        <v>19</v>
      </c>
      <c r="B33" s="5">
        <f>'Exhibit 8'!M10</f>
        <v>150</v>
      </c>
    </row>
    <row r="34" spans="1:10" ht="15.75" customHeight="1">
      <c r="A34" s="2" t="s">
        <v>20</v>
      </c>
      <c r="B34" s="4">
        <f>'Exhibit 8'!M7</f>
        <v>4941.8999999999996</v>
      </c>
    </row>
    <row r="35" spans="1:10" ht="15.75" customHeight="1">
      <c r="A35" s="2" t="s">
        <v>21</v>
      </c>
      <c r="B35" s="2">
        <f>B33/B34</f>
        <v>3.0352698354883752E-2</v>
      </c>
    </row>
    <row r="37" spans="1:10" ht="15.75" customHeight="1">
      <c r="A37" s="2"/>
      <c r="B37" s="2" t="s">
        <v>6</v>
      </c>
      <c r="C37" s="2" t="s">
        <v>7</v>
      </c>
      <c r="D37" s="2" t="s">
        <v>8</v>
      </c>
    </row>
    <row r="38" spans="1:10" ht="15.75" customHeight="1">
      <c r="A38" s="2" t="s">
        <v>22</v>
      </c>
      <c r="B38" s="3">
        <f>'Exhibit 4'!F16</f>
        <v>1.19</v>
      </c>
      <c r="C38" s="3">
        <f>'Exhibit 4'!F17</f>
        <v>1.75</v>
      </c>
      <c r="D38" s="3">
        <f>'Exhibit 4'!F18</f>
        <v>1.66</v>
      </c>
      <c r="F38" s="1" t="s">
        <v>23</v>
      </c>
      <c r="J38" s="1">
        <f>ROUND('Exhibit 8'!M32/'Exhibit 8'!M7,2)</f>
        <v>1.19</v>
      </c>
    </row>
    <row r="40" spans="1:10" ht="15.75" customHeight="1">
      <c r="A40" s="1" t="s">
        <v>24</v>
      </c>
    </row>
    <row r="42" spans="1:10" ht="15.75" customHeight="1">
      <c r="A42" s="2"/>
      <c r="B42" s="2" t="s">
        <v>6</v>
      </c>
      <c r="C42" s="2" t="s">
        <v>7</v>
      </c>
      <c r="D42" s="2" t="s">
        <v>8</v>
      </c>
    </row>
    <row r="43" spans="1:10" ht="15.75" customHeight="1">
      <c r="A43" s="2" t="s">
        <v>25</v>
      </c>
      <c r="B43" s="3">
        <f>'Exhibit 4'!F12</f>
        <v>1.42</v>
      </c>
      <c r="C43" s="3">
        <f>'Exhibit 4'!F13</f>
        <v>1</v>
      </c>
      <c r="D43" s="3">
        <f>'Exhibit 4'!F14</f>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10"/>
  <sheetViews>
    <sheetView topLeftCell="A16" workbookViewId="0">
      <selection activeCell="D121" sqref="D121"/>
    </sheetView>
  </sheetViews>
  <sheetFormatPr defaultColWidth="12.6640625" defaultRowHeight="15.75" customHeight="1"/>
  <cols>
    <col min="1" max="1" width="39.44140625" customWidth="1"/>
    <col min="2" max="2" width="20.88671875" customWidth="1"/>
    <col min="3" max="3" width="22.21875" customWidth="1"/>
    <col min="4" max="4" width="16.109375" customWidth="1"/>
    <col min="5" max="5" width="14.44140625" customWidth="1"/>
    <col min="6" max="6" width="19.109375" customWidth="1"/>
    <col min="7" max="7" width="16.44140625" customWidth="1"/>
  </cols>
  <sheetData>
    <row r="1" spans="1:8" ht="13.2">
      <c r="A1" s="108" t="s">
        <v>80</v>
      </c>
      <c r="B1" s="109"/>
      <c r="C1" s="109"/>
      <c r="D1" s="109"/>
      <c r="E1" s="109"/>
      <c r="F1" s="109"/>
      <c r="G1" s="109"/>
      <c r="H1" s="109"/>
    </row>
    <row r="2" spans="1:8" ht="13.2">
      <c r="A2" s="7" t="s">
        <v>81</v>
      </c>
      <c r="B2" s="12" t="s">
        <v>82</v>
      </c>
      <c r="C2" s="12" t="s">
        <v>83</v>
      </c>
      <c r="D2" s="12" t="s">
        <v>84</v>
      </c>
      <c r="E2" s="12" t="s">
        <v>85</v>
      </c>
      <c r="F2" s="12" t="s">
        <v>86</v>
      </c>
      <c r="G2" s="12" t="s">
        <v>87</v>
      </c>
      <c r="H2" s="8"/>
    </row>
    <row r="3" spans="1:8" ht="13.2">
      <c r="A3" s="9" t="s">
        <v>88</v>
      </c>
      <c r="B3" s="21">
        <v>1512.1</v>
      </c>
      <c r="C3" s="21">
        <v>2085.4</v>
      </c>
      <c r="D3" s="21">
        <v>2158.8000000000002</v>
      </c>
      <c r="E3" s="21">
        <v>2657.9</v>
      </c>
      <c r="F3" s="21">
        <v>2972.7</v>
      </c>
      <c r="G3" s="21">
        <v>2966.3</v>
      </c>
      <c r="H3" s="8"/>
    </row>
    <row r="4" spans="1:8" ht="13.2">
      <c r="A4" s="9" t="s">
        <v>89</v>
      </c>
      <c r="B4" s="22">
        <v>-338.2</v>
      </c>
      <c r="C4" s="22">
        <v>-360.5</v>
      </c>
      <c r="D4" s="22">
        <v>-357.9</v>
      </c>
      <c r="E4" s="22">
        <v>-266.89999999999998</v>
      </c>
      <c r="F4" s="22">
        <v>-236.1</v>
      </c>
      <c r="G4" s="22">
        <v>-332.5</v>
      </c>
      <c r="H4" s="8"/>
    </row>
    <row r="5" spans="1:8" ht="13.2">
      <c r="A5" s="9" t="s">
        <v>90</v>
      </c>
      <c r="B5" s="23">
        <v>26</v>
      </c>
      <c r="C5" s="23">
        <v>39.799999999999997</v>
      </c>
      <c r="D5" s="23">
        <v>43.3</v>
      </c>
      <c r="E5" s="23">
        <v>48.7</v>
      </c>
      <c r="F5" s="23">
        <v>49</v>
      </c>
      <c r="G5" s="23">
        <v>53.2</v>
      </c>
      <c r="H5" s="54">
        <f>G5/'Exhibit 8'!M19</f>
        <v>3.1140248185436665E-2</v>
      </c>
    </row>
    <row r="6" spans="1:8" ht="13.2">
      <c r="A6" s="9" t="s">
        <v>91</v>
      </c>
      <c r="B6" s="6"/>
      <c r="C6" s="6"/>
      <c r="D6" s="6"/>
      <c r="E6" s="6"/>
      <c r="F6" s="23">
        <v>1.6</v>
      </c>
      <c r="G6" s="23">
        <v>8.1999999999999993</v>
      </c>
      <c r="H6" s="8"/>
    </row>
    <row r="7" spans="1:8" ht="13.2">
      <c r="A7" s="9" t="s">
        <v>92</v>
      </c>
      <c r="B7" s="6"/>
      <c r="C7" s="23">
        <v>0</v>
      </c>
      <c r="D7" s="6"/>
      <c r="E7" s="22">
        <v>0</v>
      </c>
      <c r="F7" s="23">
        <v>0.4</v>
      </c>
      <c r="G7" s="22">
        <v>-0.3</v>
      </c>
      <c r="H7" s="8"/>
    </row>
    <row r="8" spans="1:8" ht="13.2">
      <c r="A8" s="9" t="s">
        <v>93</v>
      </c>
      <c r="B8" s="22">
        <v>-34.6</v>
      </c>
      <c r="C8" s="22">
        <v>-59.9</v>
      </c>
      <c r="D8" s="22">
        <v>-71.2</v>
      </c>
      <c r="E8" s="22">
        <v>-62.2</v>
      </c>
      <c r="F8" s="22">
        <v>-33.6</v>
      </c>
      <c r="G8" s="22">
        <v>-138.69999999999999</v>
      </c>
      <c r="H8" s="8"/>
    </row>
    <row r="9" spans="1:8" ht="13.2">
      <c r="A9" s="9" t="s">
        <v>94</v>
      </c>
      <c r="B9" s="22">
        <v>-329.9</v>
      </c>
      <c r="C9" s="22">
        <v>-340.6</v>
      </c>
      <c r="D9" s="22">
        <v>-330</v>
      </c>
      <c r="E9" s="22">
        <v>-253.3</v>
      </c>
      <c r="F9" s="22">
        <v>-251.9</v>
      </c>
      <c r="G9" s="22">
        <v>-279.7</v>
      </c>
      <c r="H9" s="8"/>
    </row>
    <row r="10" spans="1:8" ht="13.2">
      <c r="A10" s="9" t="s">
        <v>95</v>
      </c>
      <c r="B10" s="6"/>
      <c r="C10" s="6"/>
      <c r="D10" s="6"/>
      <c r="E10" s="6"/>
      <c r="F10" s="22">
        <v>-0.5</v>
      </c>
      <c r="G10" s="22">
        <v>-4.2</v>
      </c>
      <c r="H10" s="8"/>
    </row>
    <row r="11" spans="1:8" ht="26.4">
      <c r="A11" s="9" t="s">
        <v>96</v>
      </c>
      <c r="B11" s="6"/>
      <c r="C11" s="6"/>
      <c r="D11" s="6"/>
      <c r="E11" s="6"/>
      <c r="F11" s="22">
        <v>-1</v>
      </c>
      <c r="G11" s="23">
        <v>29</v>
      </c>
      <c r="H11" s="8"/>
    </row>
    <row r="12" spans="1:8" ht="13.2">
      <c r="A12" s="9" t="s">
        <v>97</v>
      </c>
      <c r="B12" s="23">
        <v>0.3</v>
      </c>
      <c r="C12" s="23">
        <v>0.2</v>
      </c>
      <c r="D12" s="23">
        <v>0</v>
      </c>
      <c r="E12" s="22">
        <v>0</v>
      </c>
      <c r="F12" s="24" t="s">
        <v>98</v>
      </c>
      <c r="G12" s="24" t="s">
        <v>99</v>
      </c>
      <c r="H12" s="8"/>
    </row>
    <row r="13" spans="1:8" ht="13.2">
      <c r="A13" s="9" t="s">
        <v>100</v>
      </c>
      <c r="B13" s="23">
        <v>28.5</v>
      </c>
      <c r="C13" s="22">
        <v>-69.8</v>
      </c>
      <c r="D13" s="22">
        <v>-148.69999999999999</v>
      </c>
      <c r="E13" s="23">
        <v>134.9</v>
      </c>
      <c r="F13" s="22">
        <v>-275.8</v>
      </c>
      <c r="G13" s="23">
        <v>70.8</v>
      </c>
      <c r="H13" s="8"/>
    </row>
    <row r="14" spans="1:8" ht="13.2">
      <c r="A14" s="9" t="s">
        <v>101</v>
      </c>
      <c r="B14" s="23">
        <v>8.9</v>
      </c>
      <c r="C14" s="22">
        <v>-48.3</v>
      </c>
      <c r="D14" s="23">
        <v>16</v>
      </c>
      <c r="E14" s="22">
        <v>-48.9</v>
      </c>
      <c r="F14" s="22">
        <v>-120</v>
      </c>
      <c r="G14" s="22">
        <v>-28.9</v>
      </c>
      <c r="H14" s="8"/>
    </row>
    <row r="15" spans="1:8" ht="13.2">
      <c r="A15" s="9" t="s">
        <v>102</v>
      </c>
      <c r="B15" s="22">
        <v>-139.80000000000001</v>
      </c>
      <c r="C15" s="22">
        <v>-74.400000000000006</v>
      </c>
      <c r="D15" s="22">
        <v>-36</v>
      </c>
      <c r="E15" s="23">
        <v>1.8</v>
      </c>
      <c r="F15" s="22">
        <v>-109.2</v>
      </c>
      <c r="G15" s="23">
        <v>77.099999999999994</v>
      </c>
      <c r="H15" s="8"/>
    </row>
    <row r="16" spans="1:8" ht="13.2">
      <c r="A16" s="9" t="s">
        <v>103</v>
      </c>
      <c r="B16" s="22">
        <v>-0.9</v>
      </c>
      <c r="C16" s="22">
        <v>-5.7</v>
      </c>
      <c r="D16" s="22">
        <v>-14.1</v>
      </c>
      <c r="E16" s="22">
        <v>-9.6</v>
      </c>
      <c r="F16" s="24" t="s">
        <v>104</v>
      </c>
      <c r="G16" s="24" t="s">
        <v>105</v>
      </c>
      <c r="H16" s="8"/>
    </row>
    <row r="17" spans="1:8" ht="13.2">
      <c r="A17" s="9" t="s">
        <v>106</v>
      </c>
      <c r="B17" s="23">
        <v>160.30000000000001</v>
      </c>
      <c r="C17" s="23">
        <v>58.6</v>
      </c>
      <c r="D17" s="22">
        <v>-114.6</v>
      </c>
      <c r="E17" s="23">
        <v>191.6</v>
      </c>
      <c r="F17" s="22">
        <v>-46.6</v>
      </c>
      <c r="G17" s="23">
        <v>22.7</v>
      </c>
      <c r="H17" s="8"/>
    </row>
    <row r="18" spans="1:8" ht="13.2">
      <c r="A18" s="9" t="s">
        <v>107</v>
      </c>
      <c r="B18" s="21">
        <f t="shared" ref="B18:E18" si="0">B3+B5+B8+B9+B14+B15+B16+B17+B12</f>
        <v>1202.3999999999999</v>
      </c>
      <c r="C18" s="21">
        <f t="shared" si="0"/>
        <v>1655.1000000000001</v>
      </c>
      <c r="D18" s="21">
        <f t="shared" si="0"/>
        <v>1652.2000000000007</v>
      </c>
      <c r="E18" s="21">
        <f t="shared" si="0"/>
        <v>2526</v>
      </c>
      <c r="F18" s="21">
        <f t="shared" ref="F18:G18" si="1">F3+F5+F6+F7+F8+F9+F10+F11+F14+F15+F17</f>
        <v>2460.9</v>
      </c>
      <c r="G18" s="21">
        <f t="shared" si="1"/>
        <v>2704.7</v>
      </c>
      <c r="H18" s="8"/>
    </row>
    <row r="19" spans="1:8" ht="13.2">
      <c r="A19" s="9" t="s">
        <v>108</v>
      </c>
      <c r="B19" s="22">
        <v>-306.2</v>
      </c>
      <c r="C19" s="22">
        <v>-425.2</v>
      </c>
      <c r="D19" s="22">
        <v>-392.8</v>
      </c>
      <c r="E19" s="22">
        <v>-459.1</v>
      </c>
      <c r="F19" s="22">
        <v>-531.79999999999995</v>
      </c>
      <c r="G19" s="22">
        <v>-584.70000000000005</v>
      </c>
      <c r="H19" s="8"/>
    </row>
    <row r="20" spans="1:8" ht="13.2">
      <c r="A20" s="12" t="s">
        <v>109</v>
      </c>
      <c r="B20" s="25">
        <f t="shared" ref="B20:G20" si="2">B18+B19</f>
        <v>896.19999999999982</v>
      </c>
      <c r="C20" s="25">
        <f t="shared" si="2"/>
        <v>1229.9000000000001</v>
      </c>
      <c r="D20" s="25">
        <f t="shared" si="2"/>
        <v>1259.4000000000008</v>
      </c>
      <c r="E20" s="25">
        <f t="shared" si="2"/>
        <v>2066.9</v>
      </c>
      <c r="F20" s="25">
        <f t="shared" si="2"/>
        <v>1929.1000000000001</v>
      </c>
      <c r="G20" s="25">
        <f t="shared" si="2"/>
        <v>2120</v>
      </c>
      <c r="H20" s="8"/>
    </row>
    <row r="21" spans="1:8" ht="13.2">
      <c r="A21" s="9" t="s">
        <v>110</v>
      </c>
      <c r="B21" s="22">
        <v>-196.2</v>
      </c>
      <c r="C21" s="22">
        <v>-111.5</v>
      </c>
      <c r="D21" s="26">
        <v>-1466.8</v>
      </c>
      <c r="E21" s="22">
        <v>-7.3</v>
      </c>
      <c r="F21" s="22">
        <v>-167.8</v>
      </c>
      <c r="G21" s="22">
        <v>-356.9</v>
      </c>
      <c r="H21" s="8"/>
    </row>
    <row r="22" spans="1:8" ht="13.2">
      <c r="A22" s="9" t="s">
        <v>111</v>
      </c>
      <c r="B22" s="6"/>
      <c r="C22" s="27">
        <v>-5.0000000000000001E-3</v>
      </c>
      <c r="D22" s="6"/>
      <c r="E22" s="6"/>
      <c r="F22" s="28">
        <v>1.9</v>
      </c>
      <c r="G22" s="28">
        <v>2</v>
      </c>
      <c r="H22" s="8"/>
    </row>
    <row r="23" spans="1:8" ht="13.2">
      <c r="A23" s="9" t="s">
        <v>112</v>
      </c>
      <c r="B23" s="6"/>
      <c r="C23" s="23">
        <v>59.9</v>
      </c>
      <c r="D23" s="23">
        <v>335.2</v>
      </c>
      <c r="E23" s="22">
        <v>-206</v>
      </c>
      <c r="F23" s="22">
        <v>-857.9</v>
      </c>
      <c r="G23" s="22">
        <v>-525.1</v>
      </c>
      <c r="H23" s="8"/>
    </row>
    <row r="24" spans="1:8" ht="13.2">
      <c r="A24" s="9" t="s">
        <v>113</v>
      </c>
      <c r="B24" s="22">
        <v>-556.1</v>
      </c>
      <c r="C24" s="6"/>
      <c r="D24" s="6"/>
      <c r="E24" s="6"/>
      <c r="F24" s="6"/>
      <c r="G24" s="6"/>
      <c r="H24" s="8"/>
    </row>
    <row r="25" spans="1:8" ht="13.2">
      <c r="A25" s="9" t="s">
        <v>114</v>
      </c>
      <c r="B25" s="6"/>
      <c r="C25" s="21">
        <v>1293.7</v>
      </c>
      <c r="D25" s="6"/>
      <c r="E25" s="6"/>
      <c r="F25" s="6"/>
      <c r="G25" s="6"/>
      <c r="H25" s="8"/>
    </row>
    <row r="26" spans="1:8" ht="13.2">
      <c r="A26" s="9" t="s">
        <v>115</v>
      </c>
      <c r="B26" s="6"/>
      <c r="C26" s="6"/>
      <c r="D26" s="6"/>
      <c r="E26" s="6"/>
      <c r="F26" s="23">
        <v>0.5</v>
      </c>
      <c r="G26" s="23">
        <v>4.2</v>
      </c>
      <c r="H26" s="8"/>
    </row>
    <row r="27" spans="1:8" ht="13.2">
      <c r="A27" s="9" t="s">
        <v>116</v>
      </c>
      <c r="B27" s="23">
        <v>329.9</v>
      </c>
      <c r="C27" s="23">
        <v>259.5</v>
      </c>
      <c r="D27" s="23">
        <v>395</v>
      </c>
      <c r="E27" s="23">
        <v>229.4</v>
      </c>
      <c r="F27" s="23">
        <v>251.9</v>
      </c>
      <c r="G27" s="23">
        <v>279.7</v>
      </c>
      <c r="H27" s="8"/>
    </row>
    <row r="28" spans="1:8" ht="13.2">
      <c r="A28" s="9" t="s">
        <v>117</v>
      </c>
      <c r="B28" s="6"/>
      <c r="C28" s="26">
        <v>-1600.5</v>
      </c>
      <c r="D28" s="23">
        <v>772</v>
      </c>
      <c r="E28" s="22">
        <v>-211.2</v>
      </c>
      <c r="F28" s="23">
        <v>831.2</v>
      </c>
      <c r="G28" s="23">
        <v>442.8</v>
      </c>
      <c r="H28" s="8"/>
    </row>
    <row r="29" spans="1:8" ht="13.2">
      <c r="A29" s="8"/>
      <c r="B29" s="8"/>
      <c r="C29" s="8"/>
      <c r="D29" s="8"/>
      <c r="E29" s="8"/>
      <c r="F29" s="8"/>
      <c r="G29" s="8"/>
      <c r="H29" s="8"/>
    </row>
    <row r="30" spans="1:8" ht="13.2">
      <c r="A30" s="7" t="s">
        <v>118</v>
      </c>
      <c r="B30" s="12" t="s">
        <v>119</v>
      </c>
      <c r="C30" s="12" t="s">
        <v>120</v>
      </c>
      <c r="D30" s="12" t="s">
        <v>121</v>
      </c>
      <c r="E30" s="12" t="s">
        <v>122</v>
      </c>
      <c r="F30" s="12" t="s">
        <v>123</v>
      </c>
      <c r="G30" s="12" t="s">
        <v>124</v>
      </c>
      <c r="H30" s="8"/>
    </row>
    <row r="31" spans="1:8" ht="13.2">
      <c r="A31" s="12" t="s">
        <v>125</v>
      </c>
      <c r="B31" s="29">
        <f t="shared" ref="B31:G31" si="3">SUM(B21:B28)</f>
        <v>-422.4</v>
      </c>
      <c r="C31" s="29">
        <f t="shared" si="3"/>
        <v>-98.904999999999973</v>
      </c>
      <c r="D31" s="29">
        <f t="shared" si="3"/>
        <v>35.400000000000091</v>
      </c>
      <c r="E31" s="29">
        <f t="shared" si="3"/>
        <v>-195.1</v>
      </c>
      <c r="F31" s="29">
        <f t="shared" si="3"/>
        <v>59.800000000000068</v>
      </c>
      <c r="G31" s="29">
        <f t="shared" si="3"/>
        <v>-153.2999999999999</v>
      </c>
      <c r="H31" s="29"/>
    </row>
    <row r="32" spans="1:8" ht="13.2">
      <c r="A32" s="9" t="s">
        <v>126</v>
      </c>
      <c r="B32" s="22">
        <v>-870.3</v>
      </c>
      <c r="C32" s="22">
        <v>-958.8</v>
      </c>
      <c r="D32" s="22">
        <v>-958.8</v>
      </c>
      <c r="E32" s="26">
        <v>-1696.3</v>
      </c>
      <c r="F32" s="26">
        <v>-2041.5</v>
      </c>
      <c r="G32" s="26">
        <v>-2041.5</v>
      </c>
      <c r="H32" s="8"/>
    </row>
    <row r="33" spans="1:8" ht="13.2">
      <c r="A33" s="9" t="s">
        <v>127</v>
      </c>
      <c r="B33" s="6"/>
      <c r="C33" s="6"/>
      <c r="D33" s="6"/>
      <c r="E33" s="6"/>
      <c r="F33" s="22">
        <v>-1.6</v>
      </c>
      <c r="G33" s="22">
        <v>-8.1999999999999993</v>
      </c>
      <c r="H33" s="8"/>
    </row>
    <row r="34" spans="1:8" ht="39.6">
      <c r="A34" s="30" t="s">
        <v>128</v>
      </c>
      <c r="B34" s="6"/>
      <c r="C34" s="6"/>
      <c r="D34" s="6"/>
      <c r="E34" s="6"/>
      <c r="F34" s="23">
        <v>100</v>
      </c>
      <c r="G34" s="23">
        <v>50</v>
      </c>
      <c r="H34" s="8"/>
    </row>
    <row r="35" spans="1:8" ht="13.2">
      <c r="A35" s="9" t="s">
        <v>129</v>
      </c>
      <c r="B35" s="22">
        <v>-142.30000000000001</v>
      </c>
      <c r="C35" s="22">
        <v>-155.5</v>
      </c>
      <c r="D35" s="22">
        <v>-162.9</v>
      </c>
      <c r="E35" s="22">
        <v>-339.2</v>
      </c>
      <c r="F35" s="6"/>
      <c r="G35" s="6"/>
      <c r="H35" s="8"/>
    </row>
    <row r="36" spans="1:8" ht="13.2">
      <c r="A36" s="12" t="s">
        <v>130</v>
      </c>
      <c r="B36" s="31">
        <f t="shared" ref="B36:G36" si="4">SUM(B32:B35)</f>
        <v>-1012.5999999999999</v>
      </c>
      <c r="C36" s="31">
        <f t="shared" si="4"/>
        <v>-1114.3</v>
      </c>
      <c r="D36" s="31">
        <f t="shared" si="4"/>
        <v>-1121.7</v>
      </c>
      <c r="E36" s="31">
        <f t="shared" si="4"/>
        <v>-2035.5</v>
      </c>
      <c r="F36" s="31">
        <f t="shared" si="4"/>
        <v>-1943.1</v>
      </c>
      <c r="G36" s="31">
        <f t="shared" si="4"/>
        <v>-1999.6999999999998</v>
      </c>
      <c r="H36" s="8"/>
    </row>
    <row r="37" spans="1:8" ht="13.2">
      <c r="A37" s="9" t="s">
        <v>131</v>
      </c>
      <c r="B37" s="22">
        <f>B36+B31+B20</f>
        <v>-538.80000000000018</v>
      </c>
      <c r="C37" s="23">
        <v>16.5</v>
      </c>
      <c r="D37" s="23">
        <v>173.1</v>
      </c>
      <c r="E37" s="22">
        <v>-163.80000000000001</v>
      </c>
      <c r="F37" s="23">
        <v>45.7</v>
      </c>
      <c r="G37" s="22">
        <v>-33.200000000000003</v>
      </c>
      <c r="H37" s="8"/>
    </row>
    <row r="38" spans="1:8" ht="13.2">
      <c r="A38" s="9" t="s">
        <v>132</v>
      </c>
      <c r="B38" s="23">
        <v>813.4</v>
      </c>
      <c r="C38" s="23">
        <v>14.7</v>
      </c>
      <c r="D38" s="23">
        <v>31.2</v>
      </c>
      <c r="E38" s="23">
        <v>203.4</v>
      </c>
      <c r="F38" s="23">
        <v>42.1</v>
      </c>
      <c r="G38" s="23">
        <v>88.1</v>
      </c>
      <c r="H38" s="8"/>
    </row>
    <row r="39" spans="1:8" ht="13.2">
      <c r="A39" s="9" t="s">
        <v>133</v>
      </c>
      <c r="B39" s="6"/>
      <c r="C39" s="6"/>
      <c r="D39" s="22">
        <v>-0.9</v>
      </c>
      <c r="E39" s="23">
        <v>2.5</v>
      </c>
      <c r="F39" s="23">
        <v>0.4</v>
      </c>
      <c r="G39" s="6"/>
      <c r="H39" s="8"/>
    </row>
    <row r="40" spans="1:8" ht="13.2">
      <c r="A40" s="9" t="s">
        <v>134</v>
      </c>
      <c r="B40" s="23">
        <f t="shared" ref="B40:G40" si="5">B38+B37</f>
        <v>274.5999999999998</v>
      </c>
      <c r="C40" s="23">
        <f t="shared" si="5"/>
        <v>31.2</v>
      </c>
      <c r="D40" s="23">
        <f t="shared" si="5"/>
        <v>204.29999999999998</v>
      </c>
      <c r="E40" s="23">
        <f t="shared" si="5"/>
        <v>39.599999999999994</v>
      </c>
      <c r="F40" s="23">
        <f t="shared" si="5"/>
        <v>87.800000000000011</v>
      </c>
      <c r="G40" s="23">
        <f t="shared" si="5"/>
        <v>54.899999999999991</v>
      </c>
      <c r="H40" s="8"/>
    </row>
    <row r="41" spans="1:8" ht="26.4">
      <c r="A41" s="9" t="s">
        <v>135</v>
      </c>
      <c r="B41" s="24" t="s">
        <v>136</v>
      </c>
      <c r="C41" s="32">
        <v>1860.56</v>
      </c>
      <c r="D41" s="32">
        <v>1088.58</v>
      </c>
      <c r="E41" s="21">
        <v>1348.4</v>
      </c>
      <c r="F41" s="23">
        <v>514.70000000000005</v>
      </c>
      <c r="G41" s="23">
        <v>69.3</v>
      </c>
      <c r="H41" s="8"/>
    </row>
    <row r="42" spans="1:8" ht="13.2">
      <c r="A42" s="12" t="s">
        <v>137</v>
      </c>
      <c r="B42" s="25">
        <f t="shared" ref="B42:G42" si="6">SUM(B40:B41)</f>
        <v>274.5999999999998</v>
      </c>
      <c r="C42" s="25">
        <f t="shared" si="6"/>
        <v>1891.76</v>
      </c>
      <c r="D42" s="25">
        <f t="shared" si="6"/>
        <v>1292.8799999999999</v>
      </c>
      <c r="E42" s="25">
        <f t="shared" si="6"/>
        <v>1388</v>
      </c>
      <c r="F42" s="25">
        <f t="shared" si="6"/>
        <v>602.5</v>
      </c>
      <c r="G42" s="25">
        <f t="shared" si="6"/>
        <v>124.19999999999999</v>
      </c>
      <c r="H42" s="8"/>
    </row>
    <row r="44" spans="1:8" ht="13.2">
      <c r="A44" s="33" t="s">
        <v>0</v>
      </c>
      <c r="B44" s="34">
        <f>B20+B21+'Exhibit 6'!B11*(1-('Exhibit 6'!B18+'Exhibit 6'!B19)/'Exhibit 6'!B17)</f>
        <v>700.62731375855549</v>
      </c>
      <c r="C44" s="34">
        <f>C20+C21+'Exhibit 6'!C11*(1-('Exhibit 6'!C18+'Exhibit 6'!C19)/'Exhibit 6'!C17)</f>
        <v>1119.0535072497134</v>
      </c>
      <c r="D44" s="34">
        <f>D20+D21+'Exhibit 6'!D11*(1-('Exhibit 6'!D18+'Exhibit 6'!D19)/'Exhibit 6'!D17)</f>
        <v>-160.60386810687203</v>
      </c>
      <c r="E44" s="34">
        <f>E20+E21+'Exhibit 6'!E11*(1-('Exhibit 6'!E18+'Exhibit 6'!E19)/'Exhibit 6'!E17)</f>
        <v>2060.6652666697132</v>
      </c>
      <c r="F44" s="34">
        <f>F20+F21+'Exhibit 6'!F11*(1-('Exhibit 6'!F18+'Exhibit 6'!F19)/'Exhibit 6'!F17)</f>
        <v>1763.0738338499889</v>
      </c>
      <c r="G44" s="34">
        <f>G20+G21+'Exhibit 6'!G11*(1-('Exhibit 6'!G18+'Exhibit 6'!G19)/'Exhibit 6'!G17)</f>
        <v>1771.2022388580012</v>
      </c>
    </row>
    <row r="52" spans="1:3" ht="13.2">
      <c r="A52" s="70" t="s">
        <v>205</v>
      </c>
      <c r="B52" s="61">
        <f>'Exhibit 5'!B11</f>
        <v>0.65968449760156123</v>
      </c>
    </row>
    <row r="53" spans="1:3" ht="13.2">
      <c r="A53" s="70" t="s">
        <v>206</v>
      </c>
      <c r="B53" s="60">
        <v>0.35589999999999999</v>
      </c>
      <c r="C53" s="53" t="s">
        <v>233</v>
      </c>
    </row>
    <row r="54" spans="1:3" ht="13.2">
      <c r="A54" s="70" t="s">
        <v>213</v>
      </c>
      <c r="B54" s="60">
        <v>0.12711832049110799</v>
      </c>
    </row>
    <row r="55" spans="1:3" ht="13.2">
      <c r="A55" s="70" t="s">
        <v>222</v>
      </c>
      <c r="B55" s="60">
        <v>6.8000000000000005E-2</v>
      </c>
      <c r="C55" s="53" t="s">
        <v>225</v>
      </c>
    </row>
    <row r="56" spans="1:3" ht="13.2">
      <c r="A56" s="70" t="s">
        <v>223</v>
      </c>
      <c r="B56" s="60">
        <v>7.4999999999999997E-2</v>
      </c>
      <c r="C56" s="53" t="s">
        <v>226</v>
      </c>
    </row>
    <row r="57" spans="1:3" ht="13.2">
      <c r="A57" s="70" t="s">
        <v>227</v>
      </c>
      <c r="B57" s="60">
        <v>0.08</v>
      </c>
      <c r="C57" s="53" t="s">
        <v>228</v>
      </c>
    </row>
    <row r="58" spans="1:3" ht="13.2">
      <c r="A58" s="70" t="s">
        <v>236</v>
      </c>
      <c r="B58" s="60">
        <v>0.34599999999999997</v>
      </c>
      <c r="C58" s="53" t="s">
        <v>229</v>
      </c>
    </row>
    <row r="59" spans="1:3" ht="13.2">
      <c r="A59" s="70" t="s">
        <v>224</v>
      </c>
      <c r="B59" s="59">
        <v>0.9</v>
      </c>
      <c r="C59" s="53"/>
    </row>
    <row r="60" spans="1:3" ht="13.2">
      <c r="A60" s="70" t="s">
        <v>230</v>
      </c>
      <c r="B60" s="60">
        <v>0.97050000000000003</v>
      </c>
      <c r="C60" s="53" t="s">
        <v>232</v>
      </c>
    </row>
    <row r="61" spans="1:3" ht="13.2">
      <c r="A61" s="70" t="s">
        <v>231</v>
      </c>
      <c r="B61" s="60">
        <v>2.9499999999999998E-2</v>
      </c>
      <c r="C61" s="53" t="s">
        <v>232</v>
      </c>
    </row>
    <row r="62" spans="1:3" ht="13.2">
      <c r="A62" s="70"/>
      <c r="B62" s="60"/>
      <c r="C62" s="53"/>
    </row>
    <row r="63" spans="1:3" ht="13.2">
      <c r="A63" s="70" t="s">
        <v>234</v>
      </c>
      <c r="B63" s="60">
        <v>0.13550000000000001</v>
      </c>
      <c r="C63" s="53"/>
    </row>
    <row r="64" spans="1:3" ht="13.2">
      <c r="A64" s="70" t="s">
        <v>235</v>
      </c>
      <c r="B64" s="60">
        <f>B57*(1-B58)</f>
        <v>5.2320000000000005E-2</v>
      </c>
      <c r="C64" s="53"/>
    </row>
    <row r="65" spans="1:3" ht="13.2">
      <c r="A65" s="70" t="s">
        <v>221</v>
      </c>
      <c r="B65" s="60">
        <f>B63*B60+B64*B61</f>
        <v>0.13304619000000001</v>
      </c>
      <c r="C65" s="53"/>
    </row>
    <row r="66" spans="1:3" ht="13.2">
      <c r="A66" s="70" t="s">
        <v>253</v>
      </c>
      <c r="B66" s="66">
        <v>0.02</v>
      </c>
    </row>
    <row r="67" spans="1:3" ht="15.75" customHeight="1">
      <c r="A67" s="70" t="s">
        <v>266</v>
      </c>
      <c r="B67" s="81">
        <v>0.05</v>
      </c>
      <c r="C67" s="63" t="s">
        <v>237</v>
      </c>
    </row>
    <row r="68" spans="1:3" ht="15.75" customHeight="1">
      <c r="A68" s="70" t="s">
        <v>267</v>
      </c>
      <c r="B68" s="81">
        <v>0.08</v>
      </c>
      <c r="C68" s="63" t="s">
        <v>268</v>
      </c>
    </row>
    <row r="69" spans="1:3" ht="15.75" customHeight="1" thickBot="1">
      <c r="A69" s="52"/>
      <c r="B69" s="62"/>
      <c r="C69" s="53"/>
    </row>
    <row r="70" spans="1:3" ht="15.75" customHeight="1">
      <c r="A70" s="76" t="s">
        <v>239</v>
      </c>
      <c r="B70" s="74">
        <v>0.35</v>
      </c>
      <c r="C70" s="53" t="s">
        <v>240</v>
      </c>
    </row>
    <row r="71" spans="1:3" ht="15.75" customHeight="1">
      <c r="A71" s="77" t="s">
        <v>244</v>
      </c>
      <c r="B71" s="75">
        <v>7.4999999999999997E-2</v>
      </c>
      <c r="C71" s="53" t="s">
        <v>245</v>
      </c>
    </row>
    <row r="72" spans="1:3" ht="15.75" customHeight="1" thickBot="1">
      <c r="A72" s="77" t="s">
        <v>246</v>
      </c>
      <c r="B72" s="75">
        <v>0.10199999999999999</v>
      </c>
      <c r="C72" s="53" t="s">
        <v>247</v>
      </c>
    </row>
    <row r="73" spans="1:3" ht="15.75" customHeight="1">
      <c r="A73" s="79" t="s">
        <v>241</v>
      </c>
      <c r="B73" s="80"/>
    </row>
    <row r="74" spans="1:3" ht="15.75" customHeight="1">
      <c r="A74" s="77" t="s">
        <v>196</v>
      </c>
      <c r="B74" s="67">
        <v>0.13400000000000001</v>
      </c>
      <c r="C74" s="53" t="s">
        <v>242</v>
      </c>
    </row>
    <row r="75" spans="1:3" ht="15.75" customHeight="1">
      <c r="A75" s="77" t="s">
        <v>197</v>
      </c>
      <c r="B75" s="68">
        <v>0.14000000000000001</v>
      </c>
    </row>
    <row r="76" spans="1:3" ht="15.75" customHeight="1">
      <c r="A76" s="77" t="s">
        <v>199</v>
      </c>
      <c r="B76" s="68">
        <v>0.14000000000000001</v>
      </c>
    </row>
    <row r="77" spans="1:3" ht="15.75" customHeight="1">
      <c r="A77" s="77" t="s">
        <v>201</v>
      </c>
      <c r="B77" s="67">
        <v>0.13400000000000001</v>
      </c>
    </row>
    <row r="78" spans="1:3" ht="15.75" customHeight="1">
      <c r="A78" s="77" t="s">
        <v>202</v>
      </c>
      <c r="B78" s="67">
        <v>0.13400000000000001</v>
      </c>
    </row>
    <row r="79" spans="1:3" ht="15.75" customHeight="1" thickBot="1">
      <c r="A79" s="78" t="s">
        <v>203</v>
      </c>
      <c r="B79" s="69">
        <v>0.13400000000000001</v>
      </c>
    </row>
    <row r="80" spans="1:3" ht="15.75" customHeight="1" thickBot="1"/>
    <row r="81" spans="1:11" ht="15.75" customHeight="1">
      <c r="A81" s="76" t="s">
        <v>248</v>
      </c>
      <c r="B81" s="82">
        <v>10</v>
      </c>
      <c r="C81" s="53" t="s">
        <v>249</v>
      </c>
    </row>
    <row r="82" spans="1:11" ht="15.75" customHeight="1">
      <c r="A82" s="77" t="s">
        <v>250</v>
      </c>
      <c r="B82" s="83">
        <v>54</v>
      </c>
      <c r="C82" s="53" t="s">
        <v>249</v>
      </c>
      <c r="H82" s="55"/>
    </row>
    <row r="83" spans="1:11" ht="15.75" customHeight="1" thickBot="1">
      <c r="A83" s="78" t="s">
        <v>251</v>
      </c>
      <c r="B83" s="84">
        <v>56</v>
      </c>
      <c r="C83" s="53" t="s">
        <v>249</v>
      </c>
    </row>
    <row r="86" spans="1:11" ht="15.75" customHeight="1">
      <c r="A86" s="89" t="s">
        <v>200</v>
      </c>
      <c r="B86" s="56" t="s">
        <v>197</v>
      </c>
      <c r="C86" s="56" t="s">
        <v>199</v>
      </c>
      <c r="D86" s="56" t="s">
        <v>201</v>
      </c>
      <c r="E86" s="56" t="s">
        <v>202</v>
      </c>
      <c r="F86" s="56" t="s">
        <v>203</v>
      </c>
      <c r="G86" s="56" t="s">
        <v>243</v>
      </c>
    </row>
    <row r="87" spans="1:11" ht="15.75" customHeight="1">
      <c r="A87" s="89" t="s">
        <v>238</v>
      </c>
      <c r="B87" s="64">
        <v>0.1</v>
      </c>
      <c r="C87" s="64">
        <v>0.11</v>
      </c>
      <c r="D87" s="64">
        <v>7.0000000000000007E-2</v>
      </c>
      <c r="E87" s="65">
        <v>7.4999999999999997E-2</v>
      </c>
      <c r="F87" s="64">
        <v>0.08</v>
      </c>
      <c r="G87" s="57"/>
    </row>
    <row r="88" spans="1:11" ht="15.75" customHeight="1">
      <c r="A88" s="90" t="s">
        <v>138</v>
      </c>
      <c r="B88" s="57">
        <f>'Exhibit 5'!C7</f>
        <v>9416.1796839245653</v>
      </c>
      <c r="C88" s="57">
        <f>'Exhibit 5'!D7</f>
        <v>10884.552746250001</v>
      </c>
      <c r="D88" s="57">
        <f t="shared" ref="D88:F88" si="7">D89+D90</f>
        <v>11750.963144851503</v>
      </c>
      <c r="E88" s="57">
        <f t="shared" si="7"/>
        <v>12752.450843033965</v>
      </c>
      <c r="F88" s="57">
        <f t="shared" si="7"/>
        <v>13911.438019454665</v>
      </c>
      <c r="G88" s="57"/>
    </row>
    <row r="89" spans="1:11" ht="15.75" customHeight="1">
      <c r="A89" s="90" t="s">
        <v>194</v>
      </c>
      <c r="B89" s="57">
        <f>'Exhibit 5'!C8</f>
        <v>786.98471392456474</v>
      </c>
      <c r="C89" s="57">
        <f>'Exhibit 5'!D8</f>
        <v>1306.1463295499998</v>
      </c>
      <c r="D89" s="57">
        <f>C89*1.15</f>
        <v>1502.0682789824996</v>
      </c>
      <c r="E89" s="57">
        <f>D89*1.155</f>
        <v>1734.8888622247871</v>
      </c>
      <c r="F89" s="57">
        <f>E89*1.16</f>
        <v>2012.4710801807528</v>
      </c>
      <c r="G89" s="57"/>
      <c r="J89" s="96">
        <f>8%*(1+5%)</f>
        <v>8.4000000000000005E-2</v>
      </c>
    </row>
    <row r="90" spans="1:11" ht="15.75" customHeight="1">
      <c r="A90" s="90" t="s">
        <v>195</v>
      </c>
      <c r="B90" s="57">
        <f>'Exhibit 5'!C9</f>
        <v>8629.1949700000005</v>
      </c>
      <c r="C90" s="57">
        <f>'Exhibit 5'!D9</f>
        <v>9578.4064167000015</v>
      </c>
      <c r="D90" s="57">
        <f>C90*1.07</f>
        <v>10248.894865869002</v>
      </c>
      <c r="E90" s="57">
        <f>D90*1.075</f>
        <v>11017.561980809178</v>
      </c>
      <c r="F90" s="57">
        <f>E90*1.08</f>
        <v>11898.966939273912</v>
      </c>
      <c r="G90" s="57"/>
      <c r="K90">
        <f>8*(1+7%)</f>
        <v>8.56</v>
      </c>
    </row>
    <row r="91" spans="1:11" ht="15.75" customHeight="1">
      <c r="A91" s="91"/>
      <c r="B91" s="57"/>
      <c r="C91" s="57"/>
      <c r="D91" s="57"/>
      <c r="E91" s="57"/>
      <c r="F91" s="57"/>
      <c r="G91" s="58"/>
      <c r="K91">
        <f>8*(1+6%)</f>
        <v>8.48</v>
      </c>
    </row>
    <row r="92" spans="1:11" ht="15.75" customHeight="1">
      <c r="A92" s="90" t="s">
        <v>207</v>
      </c>
      <c r="B92" s="57">
        <f>35%*B88</f>
        <v>3295.6628893735979</v>
      </c>
      <c r="C92" s="57">
        <f t="shared" ref="C92:F92" si="8">35%*C88</f>
        <v>3809.5934611875</v>
      </c>
      <c r="D92" s="57">
        <f t="shared" si="8"/>
        <v>4112.837100698026</v>
      </c>
      <c r="E92" s="57">
        <f t="shared" si="8"/>
        <v>4463.3577950618874</v>
      </c>
      <c r="F92" s="57">
        <f t="shared" si="8"/>
        <v>4869.0033068091325</v>
      </c>
      <c r="G92" s="58"/>
      <c r="K92" s="97">
        <f>8%*(1+4%)</f>
        <v>8.320000000000001E-2</v>
      </c>
    </row>
    <row r="93" spans="1:11" ht="15.75" customHeight="1">
      <c r="A93" s="90" t="s">
        <v>208</v>
      </c>
      <c r="B93" s="57">
        <f>'Exhibit 6'!G10*(1+$B$71)</f>
        <v>659.93174999999997</v>
      </c>
      <c r="C93" s="57">
        <f t="shared" ref="C93:F93" si="9">B93*(1+$B$71)</f>
        <v>709.4266312499999</v>
      </c>
      <c r="D93" s="57">
        <f t="shared" si="9"/>
        <v>762.6336285937499</v>
      </c>
      <c r="E93" s="57">
        <f t="shared" si="9"/>
        <v>819.83115073828117</v>
      </c>
      <c r="F93" s="57">
        <f t="shared" si="9"/>
        <v>881.31848704365223</v>
      </c>
      <c r="G93" s="57"/>
      <c r="K93">
        <f>8*(1+3%)</f>
        <v>8.24</v>
      </c>
    </row>
    <row r="94" spans="1:11" ht="15.75" customHeight="1">
      <c r="A94" s="90" t="s">
        <v>209</v>
      </c>
      <c r="B94" s="57">
        <f>B75*B88</f>
        <v>1318.2651557494394</v>
      </c>
      <c r="C94" s="57">
        <f>B76*C88</f>
        <v>1523.8373844750004</v>
      </c>
      <c r="D94" s="57">
        <f>B77*D88</f>
        <v>1574.6290614101015</v>
      </c>
      <c r="E94" s="57">
        <f>B78*E88</f>
        <v>1708.8284129665515</v>
      </c>
      <c r="F94" s="57">
        <f>B79*F88</f>
        <v>1864.1326946069253</v>
      </c>
      <c r="G94" s="57"/>
    </row>
    <row r="95" spans="1:11" ht="15.75" customHeight="1">
      <c r="A95" s="90" t="s">
        <v>210</v>
      </c>
      <c r="B95" s="57">
        <f t="shared" ref="B95:F95" si="10">$B$72*B88</f>
        <v>960.45032776030564</v>
      </c>
      <c r="C95" s="57">
        <f t="shared" si="10"/>
        <v>1110.2243801175</v>
      </c>
      <c r="D95" s="57">
        <f t="shared" si="10"/>
        <v>1198.5982407748531</v>
      </c>
      <c r="E95" s="57">
        <f t="shared" si="10"/>
        <v>1300.7499859894642</v>
      </c>
      <c r="F95" s="57">
        <f t="shared" si="10"/>
        <v>1418.9666779843758</v>
      </c>
      <c r="G95" s="57"/>
    </row>
    <row r="96" spans="1:11" ht="15.75" customHeight="1">
      <c r="A96" s="90" t="s">
        <v>211</v>
      </c>
      <c r="B96" s="57">
        <f>(1+$B$67)*'Exhibit 8'!M19*B68</f>
        <v>143.50560000000002</v>
      </c>
      <c r="C96" s="57">
        <f>B96*(1+$B$67)</f>
        <v>150.68088000000003</v>
      </c>
      <c r="D96" s="57">
        <f t="shared" ref="D96:F96" si="11">C96*(1+$B$67)</f>
        <v>158.21492400000002</v>
      </c>
      <c r="E96" s="57">
        <f t="shared" si="11"/>
        <v>166.12567020000003</v>
      </c>
      <c r="F96" s="57">
        <f t="shared" si="11"/>
        <v>174.43195371000004</v>
      </c>
      <c r="G96" s="58"/>
    </row>
    <row r="97" spans="1:8" ht="15.75" customHeight="1">
      <c r="A97" s="91"/>
      <c r="B97" s="57"/>
      <c r="C97" s="57"/>
      <c r="D97" s="57"/>
      <c r="E97" s="57"/>
      <c r="F97" s="57"/>
      <c r="G97" s="57"/>
    </row>
    <row r="98" spans="1:8" ht="15.75" customHeight="1">
      <c r="A98" s="90" t="s">
        <v>204</v>
      </c>
      <c r="B98" s="58">
        <f>B88-SUM(B92:B96)</f>
        <v>3038.3639610412229</v>
      </c>
      <c r="C98" s="58">
        <f t="shared" ref="C98:F98" si="12">C88-SUM(C92:C96)</f>
        <v>3580.7900092200007</v>
      </c>
      <c r="D98" s="58">
        <f t="shared" si="12"/>
        <v>3944.0501893747723</v>
      </c>
      <c r="E98" s="58">
        <f t="shared" si="12"/>
        <v>4293.5578280777809</v>
      </c>
      <c r="F98" s="58">
        <f t="shared" si="12"/>
        <v>4703.5848993005784</v>
      </c>
      <c r="G98" s="57"/>
    </row>
    <row r="99" spans="1:8" ht="15.75" customHeight="1">
      <c r="A99" s="90" t="s">
        <v>212</v>
      </c>
      <c r="B99" s="58">
        <f>20%*B88</f>
        <v>1883.2359367849131</v>
      </c>
      <c r="C99" s="58">
        <f>$B$54*C88</f>
        <v>1383.6260644001773</v>
      </c>
      <c r="D99" s="58">
        <f>$B$54*D88</f>
        <v>1493.7626991264317</v>
      </c>
      <c r="E99" s="58">
        <f>$B$54*E88</f>
        <v>1621.0701333118918</v>
      </c>
      <c r="F99" s="58">
        <f>$B$54*F88</f>
        <v>1768.3986366492227</v>
      </c>
      <c r="G99" s="57"/>
      <c r="H99" s="53" t="s">
        <v>252</v>
      </c>
    </row>
    <row r="100" spans="1:8" ht="15.75" customHeight="1">
      <c r="A100" s="90" t="s">
        <v>215</v>
      </c>
      <c r="B100" s="58">
        <f>B81*(B88/365)</f>
        <v>257.97752558697437</v>
      </c>
      <c r="C100" s="59">
        <f>9*(C88/365)</f>
        <v>268.38623209931512</v>
      </c>
      <c r="D100" s="57">
        <f>8*(D88/365)</f>
        <v>257.55535659948498</v>
      </c>
      <c r="E100" s="57">
        <f>7*(E88/365)</f>
        <v>244.56755041435002</v>
      </c>
      <c r="F100" s="57">
        <f>6*(F88/365)</f>
        <v>228.68117292254243</v>
      </c>
      <c r="G100" s="57"/>
    </row>
    <row r="101" spans="1:8" ht="15.75" customHeight="1">
      <c r="A101" s="90" t="s">
        <v>216</v>
      </c>
      <c r="B101" s="57">
        <f>B82*(B92/665)</f>
        <v>267.61773838522447</v>
      </c>
      <c r="C101" s="57">
        <f>53*(C92/365)</f>
        <v>553.17384504914389</v>
      </c>
      <c r="D101" s="57">
        <f>52*(D92/365)</f>
        <v>585.93843626382841</v>
      </c>
      <c r="E101" s="57">
        <f>51*(E92/365)</f>
        <v>623.64725355659243</v>
      </c>
      <c r="F101" s="57">
        <f>50*(F92/365)</f>
        <v>666.98675435741541</v>
      </c>
      <c r="G101" s="57"/>
    </row>
    <row r="102" spans="1:8" ht="15.75" customHeight="1">
      <c r="A102" s="90" t="s">
        <v>217</v>
      </c>
      <c r="B102" s="57">
        <f>B83*(B92/365)</f>
        <v>505.63595015046985</v>
      </c>
      <c r="C102" s="57">
        <f t="shared" ref="C102:F102" si="13">56*(C92/365)</f>
        <v>584.48557212739729</v>
      </c>
      <c r="D102" s="57">
        <f t="shared" si="13"/>
        <v>631.01062366873828</v>
      </c>
      <c r="E102" s="57">
        <f t="shared" si="13"/>
        <v>684.78914116017995</v>
      </c>
      <c r="F102" s="57">
        <f t="shared" si="13"/>
        <v>747.02516488030517</v>
      </c>
      <c r="G102" s="57"/>
    </row>
    <row r="103" spans="1:8" ht="15.75" customHeight="1">
      <c r="A103" s="90" t="s">
        <v>214</v>
      </c>
      <c r="B103" s="58">
        <f>B100+B101-B102</f>
        <v>19.959313821728983</v>
      </c>
      <c r="C103" s="58">
        <f t="shared" ref="C103:F103" si="14">C100+C101-C102</f>
        <v>237.07450502106167</v>
      </c>
      <c r="D103" s="58">
        <f t="shared" si="14"/>
        <v>212.48316919457511</v>
      </c>
      <c r="E103" s="58">
        <f t="shared" si="14"/>
        <v>183.42566281076256</v>
      </c>
      <c r="F103" s="58">
        <f t="shared" si="14"/>
        <v>148.64276239965272</v>
      </c>
      <c r="G103" s="57"/>
      <c r="H103" s="55"/>
    </row>
    <row r="104" spans="1:8" ht="15.75" customHeight="1">
      <c r="A104" s="91"/>
      <c r="B104" s="57"/>
      <c r="C104" s="57"/>
      <c r="D104" s="57"/>
      <c r="E104" s="57"/>
      <c r="F104" s="57"/>
      <c r="G104" s="57"/>
      <c r="H104" s="55"/>
    </row>
    <row r="105" spans="1:8" ht="15.75" customHeight="1">
      <c r="A105" s="89" t="s">
        <v>0</v>
      </c>
      <c r="B105" s="56">
        <f>(B98*(1-$B$58))+B96-B99-B103</f>
        <v>227.40037991431768</v>
      </c>
      <c r="C105" s="56">
        <f>C98*(1-$B$58)+C96-C99-C103</f>
        <v>871.81697660864165</v>
      </c>
      <c r="D105" s="56">
        <f t="shared" ref="D105:F105" si="15">D98*(1-$B$58)+D96-D99-D103</f>
        <v>1031.3778795300943</v>
      </c>
      <c r="E105" s="56">
        <f t="shared" si="15"/>
        <v>1169.6166936402144</v>
      </c>
      <c r="F105" s="56">
        <f t="shared" si="15"/>
        <v>1333.5350788037031</v>
      </c>
      <c r="G105" s="56">
        <f>F105*(1+B66)</f>
        <v>1360.2057803797773</v>
      </c>
    </row>
    <row r="106" spans="1:8" ht="15.75" customHeight="1">
      <c r="A106" s="90" t="s">
        <v>219</v>
      </c>
      <c r="B106" s="57"/>
      <c r="C106" s="57"/>
      <c r="D106" s="57"/>
      <c r="E106" s="57"/>
      <c r="F106" s="56">
        <f>G105/(B65-B66)</f>
        <v>12032.300959278478</v>
      </c>
      <c r="G106" s="57"/>
    </row>
    <row r="107" spans="1:8" ht="15.75" customHeight="1">
      <c r="A107" s="90" t="s">
        <v>1</v>
      </c>
      <c r="B107" s="56">
        <f>SUM(B105:B106)</f>
        <v>227.40037991431768</v>
      </c>
      <c r="C107" s="56">
        <f t="shared" ref="C107:E107" si="16">SUM(C105:C106)</f>
        <v>871.81697660864165</v>
      </c>
      <c r="D107" s="56">
        <f t="shared" si="16"/>
        <v>1031.3778795300943</v>
      </c>
      <c r="E107" s="56">
        <f t="shared" si="16"/>
        <v>1169.6166936402144</v>
      </c>
      <c r="F107" s="56">
        <f>SUM(F105:F106)</f>
        <v>13365.836038082181</v>
      </c>
      <c r="G107" s="57"/>
    </row>
    <row r="108" spans="1:8" ht="15.75" customHeight="1" thickBot="1"/>
    <row r="109" spans="1:8" ht="15.75" customHeight="1">
      <c r="A109" s="85" t="s">
        <v>218</v>
      </c>
      <c r="B109" s="86">
        <f>NPV(B65,B107:F107)</f>
        <v>9455.949585955841</v>
      </c>
    </row>
    <row r="110" spans="1:8" ht="15.75" customHeight="1" thickBot="1">
      <c r="A110" s="87" t="s">
        <v>220</v>
      </c>
      <c r="B110" s="88">
        <f>B109/'Exhibit 8'!M5</f>
        <v>64.108132786141297</v>
      </c>
    </row>
  </sheetData>
  <scenarios current="0" show="0" sqref="B109 B110">
    <scenario name="Base Case" locked="1" count="5" user="Kuntal Pyne" comment="Created by Kuntal Pyne on 12-10-2025">
      <inputCells r="B54" val="0.127118320491108" numFmtId="10"/>
      <inputCells r="B57" val="0.08" numFmtId="10"/>
      <inputCells r="B63" val="0.1355" numFmtId="10"/>
      <inputCells r="B66" val="0.02" numFmtId="9"/>
      <inputCells r="B67" val="0.05" numFmtId="172"/>
    </scenario>
    <scenario name="Highly Pessimistic Case" locked="1" count="5" user="Kuntal Pyne" comment="Created by Kuntal Pyne on 12-10-2025_x000a_Modified by Kuntal Pyne on 12-10-2025">
      <inputCells r="B54" val="0.14" numFmtId="10"/>
      <inputCells r="B57" val="0.09" numFmtId="10"/>
      <inputCells r="B63" val="0.145" numFmtId="10"/>
      <inputCells r="B66" val="0.01" numFmtId="9"/>
      <inputCells r="B67" val="0.07" numFmtId="172"/>
    </scenario>
    <scenario name="Pessimistic Case" locked="1" count="5" user="Kuntal Pyne" comment="Created by Kuntal Pyne on 12-10-2025_x000a_Modified by Kuntal Pyne on 12-10-2025">
      <inputCells r="B54" val="0.135" numFmtId="10"/>
      <inputCells r="B57" val="0.085" numFmtId="10"/>
      <inputCells r="B63" val="0.14" numFmtId="10"/>
      <inputCells r="B66" val="0.015" numFmtId="9"/>
      <inputCells r="B67" val="0.06" numFmtId="172"/>
    </scenario>
    <scenario name="Optimistic Case" locked="1" count="5" user="Kuntal Pyne" comment="Created by Kuntal Pyne on 12-10-2025_x000a_Modified by Kuntal Pyne on 12-10-2025">
      <inputCells r="B54" val="0.12" numFmtId="10"/>
      <inputCells r="B57" val="0.075" numFmtId="10"/>
      <inputCells r="B63" val="0.13" numFmtId="10"/>
      <inputCells r="B66" val="0.025" numFmtId="9"/>
      <inputCells r="B67" val="0.04" numFmtId="172"/>
    </scenario>
    <scenario name="Higly Optimistic Case" locked="1" count="5" user="Kuntal Pyne" comment="Created by Kuntal Pyne on 12-10-2025">
      <inputCells r="B54" val="0.115" numFmtId="10"/>
      <inputCells r="B57" val="0.07" numFmtId="10"/>
      <inputCells r="B63" val="0.125" numFmtId="10"/>
      <inputCells r="B66" val="0.03" numFmtId="9"/>
      <inputCells r="B67" val="0.03" numFmtId="172"/>
    </scenario>
  </scenarios>
  <mergeCells count="1">
    <mergeCell ref="A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F288B-39BE-4502-AEE4-9DAF4359EBDA}">
  <sheetPr>
    <outlinePr summaryBelow="0"/>
  </sheetPr>
  <dimension ref="B2:H16"/>
  <sheetViews>
    <sheetView showGridLines="0" tabSelected="1" workbookViewId="0">
      <selection activeCell="D22" sqref="D22"/>
    </sheetView>
  </sheetViews>
  <sheetFormatPr defaultRowHeight="13.2" outlineLevelRow="1" outlineLevelCol="1"/>
  <cols>
    <col min="3" max="3" width="20.33203125" bestFit="1" customWidth="1"/>
    <col min="4" max="4" width="20.88671875" customWidth="1" outlineLevel="1"/>
    <col min="5" max="5" width="23.109375" customWidth="1" outlineLevel="1"/>
    <col min="6" max="7" width="18.5546875" bestFit="1" customWidth="1" outlineLevel="1"/>
    <col min="8" max="8" width="21.33203125" customWidth="1" outlineLevel="1"/>
  </cols>
  <sheetData>
    <row r="2" spans="2:8" ht="13.8">
      <c r="B2" s="98" t="s">
        <v>273</v>
      </c>
      <c r="C2" s="98"/>
      <c r="D2" s="99"/>
      <c r="E2" s="99"/>
      <c r="F2" s="99"/>
      <c r="G2" s="99"/>
      <c r="H2" s="99"/>
    </row>
    <row r="3" spans="2:8" ht="13.8" collapsed="1">
      <c r="B3" s="98"/>
      <c r="C3" s="98"/>
      <c r="D3" s="107" t="s">
        <v>254</v>
      </c>
      <c r="E3" s="107" t="s">
        <v>263</v>
      </c>
      <c r="F3" s="107" t="s">
        <v>256</v>
      </c>
      <c r="G3" s="107" t="s">
        <v>255</v>
      </c>
      <c r="H3" s="107" t="s">
        <v>271</v>
      </c>
    </row>
    <row r="4" spans="2:8" ht="40.799999999999997" hidden="1" outlineLevel="1">
      <c r="B4" s="100"/>
      <c r="C4" s="100"/>
      <c r="D4" s="101" t="s">
        <v>270</v>
      </c>
      <c r="E4" s="101" t="s">
        <v>262</v>
      </c>
      <c r="F4" s="101" t="s">
        <v>262</v>
      </c>
      <c r="G4" s="101" t="s">
        <v>262</v>
      </c>
      <c r="H4" s="101" t="s">
        <v>270</v>
      </c>
    </row>
    <row r="5" spans="2:8">
      <c r="B5" s="102" t="s">
        <v>257</v>
      </c>
      <c r="C5" s="102"/>
      <c r="D5" s="57"/>
      <c r="E5" s="57"/>
      <c r="F5" s="57"/>
      <c r="G5" s="57"/>
      <c r="H5" s="57"/>
    </row>
    <row r="6" spans="2:8" outlineLevel="1">
      <c r="B6" s="100"/>
      <c r="C6" s="100" t="s">
        <v>212</v>
      </c>
      <c r="D6" s="103">
        <v>0.12711832049110799</v>
      </c>
      <c r="E6" s="103">
        <v>0.14000000000000001</v>
      </c>
      <c r="F6" s="103">
        <v>0.13500000000000001</v>
      </c>
      <c r="G6" s="103">
        <v>0.12</v>
      </c>
      <c r="H6" s="103">
        <v>0.115</v>
      </c>
    </row>
    <row r="7" spans="2:8" outlineLevel="1">
      <c r="B7" s="100"/>
      <c r="C7" s="100" t="s">
        <v>264</v>
      </c>
      <c r="D7" s="103">
        <v>0.08</v>
      </c>
      <c r="E7" s="103">
        <v>0.09</v>
      </c>
      <c r="F7" s="103">
        <v>8.5000000000000006E-2</v>
      </c>
      <c r="G7" s="103">
        <v>7.4999999999999997E-2</v>
      </c>
      <c r="H7" s="103">
        <v>7.0000000000000007E-2</v>
      </c>
    </row>
    <row r="8" spans="2:8" outlineLevel="1">
      <c r="B8" s="100"/>
      <c r="C8" s="100" t="s">
        <v>234</v>
      </c>
      <c r="D8" s="103">
        <v>0.13550000000000001</v>
      </c>
      <c r="E8" s="103">
        <v>0.14499999999999999</v>
      </c>
      <c r="F8" s="103">
        <v>0.14000000000000001</v>
      </c>
      <c r="G8" s="103">
        <v>0.13</v>
      </c>
      <c r="H8" s="103">
        <v>0.125</v>
      </c>
    </row>
    <row r="9" spans="2:8" outlineLevel="1">
      <c r="B9" s="100"/>
      <c r="C9" s="100" t="s">
        <v>265</v>
      </c>
      <c r="D9" s="104">
        <v>0.02</v>
      </c>
      <c r="E9" s="104">
        <v>0.01</v>
      </c>
      <c r="F9" s="104">
        <v>1.4999999999999999E-2</v>
      </c>
      <c r="G9" s="104">
        <v>2.5000000000000001E-2</v>
      </c>
      <c r="H9" s="104">
        <v>0.03</v>
      </c>
    </row>
    <row r="10" spans="2:8" ht="26.4" outlineLevel="1">
      <c r="B10" s="100"/>
      <c r="C10" s="105" t="s">
        <v>274</v>
      </c>
      <c r="D10" s="104">
        <v>0.05</v>
      </c>
      <c r="E10" s="104">
        <v>7.0000000000000007E-2</v>
      </c>
      <c r="F10" s="104">
        <v>0.06</v>
      </c>
      <c r="G10" s="104">
        <v>0.04</v>
      </c>
      <c r="H10" s="104">
        <v>0.03</v>
      </c>
    </row>
    <row r="11" spans="2:8">
      <c r="B11" s="102" t="s">
        <v>258</v>
      </c>
      <c r="C11" s="102"/>
      <c r="D11" s="57"/>
      <c r="E11" s="57"/>
      <c r="F11" s="57"/>
      <c r="G11" s="57"/>
      <c r="H11" s="57"/>
    </row>
    <row r="12" spans="2:8" outlineLevel="1">
      <c r="B12" s="100"/>
      <c r="C12" s="100" t="s">
        <v>269</v>
      </c>
      <c r="D12" s="106">
        <v>9455.9495859558392</v>
      </c>
      <c r="E12" s="106">
        <v>7088.9610405059502</v>
      </c>
      <c r="F12" s="106">
        <v>8068.53786275129</v>
      </c>
      <c r="G12" s="106">
        <v>11120.206393205501</v>
      </c>
      <c r="H12" s="106">
        <v>12821.8880734637</v>
      </c>
    </row>
    <row r="13" spans="2:8" outlineLevel="1">
      <c r="B13" s="100"/>
      <c r="C13" s="100" t="s">
        <v>272</v>
      </c>
      <c r="D13" s="106">
        <v>64.108132786141297</v>
      </c>
      <c r="E13" s="106">
        <v>48.060752816989499</v>
      </c>
      <c r="F13" s="106">
        <v>54.701951611873199</v>
      </c>
      <c r="G13" s="106">
        <v>75.391229784444207</v>
      </c>
      <c r="H13" s="106">
        <v>86.928054735346905</v>
      </c>
    </row>
    <row r="14" spans="2:8">
      <c r="B14" t="s">
        <v>259</v>
      </c>
    </row>
    <row r="15" spans="2:8">
      <c r="B15" t="s">
        <v>260</v>
      </c>
    </row>
    <row r="16" spans="2:8">
      <c r="B16"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8"/>
  <sheetViews>
    <sheetView workbookViewId="0">
      <selection sqref="A1:H1"/>
    </sheetView>
  </sheetViews>
  <sheetFormatPr defaultColWidth="12.6640625" defaultRowHeight="15.75" customHeight="1"/>
  <cols>
    <col min="1" max="1" width="24.33203125" customWidth="1"/>
    <col min="2" max="2" width="14.21875" customWidth="1"/>
  </cols>
  <sheetData>
    <row r="1" spans="1:8" ht="15.75" customHeight="1">
      <c r="A1" s="108" t="s">
        <v>26</v>
      </c>
      <c r="B1" s="109"/>
      <c r="C1" s="109"/>
      <c r="D1" s="109"/>
      <c r="E1" s="109"/>
      <c r="F1" s="109"/>
      <c r="G1" s="109"/>
      <c r="H1" s="109"/>
    </row>
    <row r="2" spans="1:8" ht="13.2">
      <c r="A2" s="6"/>
      <c r="B2" s="7" t="s">
        <v>27</v>
      </c>
      <c r="C2" s="7" t="s">
        <v>28</v>
      </c>
      <c r="D2" s="7" t="s">
        <v>29</v>
      </c>
      <c r="E2" s="7" t="s">
        <v>30</v>
      </c>
      <c r="F2" s="7" t="s">
        <v>31</v>
      </c>
      <c r="G2" s="8"/>
      <c r="H2" s="8"/>
    </row>
    <row r="3" spans="1:8" ht="15.75" customHeight="1">
      <c r="A3" s="110" t="s">
        <v>32</v>
      </c>
      <c r="B3" s="111"/>
      <c r="C3" s="111"/>
      <c r="D3" s="111"/>
      <c r="E3" s="111"/>
      <c r="F3" s="112"/>
      <c r="G3" s="8"/>
      <c r="H3" s="8"/>
    </row>
    <row r="4" spans="1:8" ht="15.75" customHeight="1">
      <c r="A4" s="9" t="s">
        <v>33</v>
      </c>
      <c r="B4" s="10">
        <v>34.43</v>
      </c>
      <c r="C4" s="10">
        <v>28.68</v>
      </c>
      <c r="D4" s="10">
        <v>35.340000000000003</v>
      </c>
      <c r="E4" s="10">
        <v>40.840000000000003</v>
      </c>
      <c r="F4" s="10">
        <v>44.16</v>
      </c>
      <c r="G4" s="8"/>
      <c r="H4" s="8"/>
    </row>
    <row r="5" spans="1:8" ht="15.75" customHeight="1">
      <c r="A5" s="9" t="s">
        <v>34</v>
      </c>
      <c r="B5" s="10">
        <v>42.75</v>
      </c>
      <c r="C5" s="10">
        <v>39.85</v>
      </c>
      <c r="D5" s="10">
        <v>36.36</v>
      </c>
      <c r="E5" s="10">
        <v>33.97</v>
      </c>
      <c r="F5" s="10">
        <v>29.02</v>
      </c>
      <c r="G5" s="8"/>
      <c r="H5" s="8"/>
    </row>
    <row r="6" spans="1:8" ht="15.75" customHeight="1">
      <c r="A6" s="9" t="s">
        <v>35</v>
      </c>
      <c r="B6" s="10">
        <v>25.97</v>
      </c>
      <c r="C6" s="10">
        <v>30.17</v>
      </c>
      <c r="D6" s="10">
        <v>36.76</v>
      </c>
      <c r="E6" s="10">
        <v>37.78</v>
      </c>
      <c r="F6" s="10">
        <v>37.51</v>
      </c>
      <c r="G6" s="8"/>
      <c r="H6" s="8"/>
    </row>
    <row r="7" spans="1:8" ht="15.75" customHeight="1">
      <c r="A7" s="110" t="s">
        <v>36</v>
      </c>
      <c r="B7" s="111"/>
      <c r="C7" s="111"/>
      <c r="D7" s="111"/>
      <c r="E7" s="111"/>
      <c r="F7" s="112"/>
      <c r="G7" s="8"/>
      <c r="H7" s="8"/>
    </row>
    <row r="8" spans="1:8" ht="15.75" customHeight="1">
      <c r="A8" s="9" t="s">
        <v>37</v>
      </c>
      <c r="B8" s="10">
        <v>28.11</v>
      </c>
      <c r="C8" s="10">
        <v>22.91</v>
      </c>
      <c r="D8" s="10">
        <v>22.1</v>
      </c>
      <c r="E8" s="10">
        <v>23.72</v>
      </c>
      <c r="F8" s="10">
        <v>26.1</v>
      </c>
      <c r="G8" s="8"/>
      <c r="H8" s="8"/>
    </row>
    <row r="9" spans="1:8" ht="15.75" customHeight="1">
      <c r="A9" s="9" t="s">
        <v>38</v>
      </c>
      <c r="B9" s="10">
        <v>12.31</v>
      </c>
      <c r="C9" s="10">
        <v>12.84</v>
      </c>
      <c r="D9" s="10">
        <v>13.51</v>
      </c>
      <c r="E9" s="10">
        <v>15.94</v>
      </c>
      <c r="F9" s="10">
        <v>16.62</v>
      </c>
      <c r="G9" s="8"/>
      <c r="H9" s="8"/>
    </row>
    <row r="10" spans="1:8" ht="15.75" customHeight="1">
      <c r="A10" s="9" t="s">
        <v>39</v>
      </c>
      <c r="B10" s="10">
        <v>8.82</v>
      </c>
      <c r="C10" s="10">
        <v>10.74</v>
      </c>
      <c r="D10" s="10">
        <v>10.19</v>
      </c>
      <c r="E10" s="10">
        <v>12.02</v>
      </c>
      <c r="F10" s="10">
        <v>13.68</v>
      </c>
      <c r="G10" s="8"/>
      <c r="H10" s="8"/>
    </row>
    <row r="11" spans="1:8" ht="15.75" customHeight="1">
      <c r="A11" s="110" t="s">
        <v>40</v>
      </c>
      <c r="B11" s="111"/>
      <c r="C11" s="111"/>
      <c r="D11" s="111"/>
      <c r="E11" s="111"/>
      <c r="F11" s="112"/>
      <c r="G11" s="8"/>
      <c r="H11" s="8"/>
    </row>
    <row r="12" spans="1:8" ht="15.75" customHeight="1">
      <c r="A12" s="9" t="s">
        <v>41</v>
      </c>
      <c r="B12" s="10">
        <v>1.06</v>
      </c>
      <c r="C12" s="10">
        <v>1.1200000000000001</v>
      </c>
      <c r="D12" s="10">
        <v>1.38</v>
      </c>
      <c r="E12" s="10">
        <v>1.46</v>
      </c>
      <c r="F12" s="10">
        <v>1.42</v>
      </c>
      <c r="G12" s="8"/>
      <c r="H12" s="8"/>
    </row>
    <row r="13" spans="1:8" ht="15.75" customHeight="1">
      <c r="A13" s="9" t="s">
        <v>42</v>
      </c>
      <c r="B13" s="10">
        <v>1.28</v>
      </c>
      <c r="C13" s="10">
        <v>1.33</v>
      </c>
      <c r="D13" s="10">
        <v>1.26</v>
      </c>
      <c r="E13" s="10">
        <v>1.08</v>
      </c>
      <c r="F13" s="10">
        <v>1</v>
      </c>
      <c r="G13" s="8"/>
      <c r="H13" s="8"/>
    </row>
    <row r="14" spans="1:8" ht="15.75" customHeight="1">
      <c r="A14" s="9" t="s">
        <v>43</v>
      </c>
      <c r="B14" s="10">
        <v>1.38</v>
      </c>
      <c r="C14" s="10">
        <v>1.4</v>
      </c>
      <c r="D14" s="10">
        <v>1.88</v>
      </c>
      <c r="E14" s="10">
        <v>1.8</v>
      </c>
      <c r="F14" s="10">
        <v>1.65</v>
      </c>
      <c r="G14" s="8"/>
      <c r="H14" s="8"/>
    </row>
    <row r="15" spans="1:8" ht="15.75" customHeight="1">
      <c r="A15" s="110" t="s">
        <v>44</v>
      </c>
      <c r="B15" s="111"/>
      <c r="C15" s="111"/>
      <c r="D15" s="111"/>
      <c r="E15" s="111"/>
      <c r="F15" s="112"/>
      <c r="G15" s="8"/>
      <c r="H15" s="8"/>
    </row>
    <row r="16" spans="1:8" ht="15.75" customHeight="1">
      <c r="A16" s="9" t="s">
        <v>45</v>
      </c>
      <c r="B16" s="10">
        <v>1.1499999999999999</v>
      </c>
      <c r="C16" s="10">
        <v>1.1200000000000001</v>
      </c>
      <c r="D16" s="10">
        <v>1.1599999999999999</v>
      </c>
      <c r="E16" s="10">
        <v>1.18</v>
      </c>
      <c r="F16" s="10">
        <v>1.19</v>
      </c>
      <c r="G16" s="8"/>
      <c r="H16" s="8"/>
    </row>
    <row r="17" spans="1:8" ht="15.75" customHeight="1">
      <c r="A17" s="9" t="s">
        <v>46</v>
      </c>
      <c r="B17" s="10">
        <v>2.71</v>
      </c>
      <c r="C17" s="10">
        <v>2.34</v>
      </c>
      <c r="D17" s="10">
        <v>2.13</v>
      </c>
      <c r="E17" s="10">
        <v>1.97</v>
      </c>
      <c r="F17" s="10">
        <v>1.75</v>
      </c>
      <c r="G17" s="8"/>
      <c r="H17" s="8"/>
    </row>
    <row r="18" spans="1:8" ht="15.75" customHeight="1">
      <c r="A18" s="9" t="s">
        <v>47</v>
      </c>
      <c r="B18" s="10">
        <v>2.13</v>
      </c>
      <c r="C18" s="10">
        <v>2</v>
      </c>
      <c r="D18" s="10">
        <v>1.92</v>
      </c>
      <c r="E18" s="10">
        <v>1.75</v>
      </c>
      <c r="F18" s="10">
        <v>1.66</v>
      </c>
      <c r="G18" s="8"/>
      <c r="H18" s="8"/>
    </row>
  </sheetData>
  <mergeCells count="5">
    <mergeCell ref="A1:H1"/>
    <mergeCell ref="A3:F3"/>
    <mergeCell ref="A7:F7"/>
    <mergeCell ref="A11:F11"/>
    <mergeCell ref="A15:F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1"/>
  <sheetViews>
    <sheetView workbookViewId="0">
      <selection activeCell="C18" sqref="C18"/>
    </sheetView>
  </sheetViews>
  <sheetFormatPr defaultColWidth="12.6640625" defaultRowHeight="15.75" customHeight="1"/>
  <cols>
    <col min="1" max="1" width="22.21875" bestFit="1" customWidth="1"/>
  </cols>
  <sheetData>
    <row r="1" spans="1:9" ht="13.2">
      <c r="A1" s="1" t="s">
        <v>48</v>
      </c>
      <c r="B1" s="1" t="s">
        <v>49</v>
      </c>
      <c r="C1" s="1" t="s">
        <v>50</v>
      </c>
      <c r="D1" s="1" t="s">
        <v>51</v>
      </c>
      <c r="E1" s="1" t="s">
        <v>52</v>
      </c>
      <c r="F1" s="1" t="s">
        <v>53</v>
      </c>
    </row>
    <row r="2" spans="1:9" ht="13.2">
      <c r="A2" s="1" t="s">
        <v>54</v>
      </c>
      <c r="B2" s="11">
        <v>46337.1</v>
      </c>
      <c r="C2" s="11">
        <v>47447.199999999997</v>
      </c>
      <c r="D2" s="11">
        <v>57918.7</v>
      </c>
      <c r="E2" s="11">
        <v>61177.8</v>
      </c>
      <c r="F2" s="11">
        <v>60332.3</v>
      </c>
    </row>
    <row r="3" spans="1:9" ht="13.2">
      <c r="A3" s="1" t="s">
        <v>55</v>
      </c>
      <c r="B3" s="11">
        <v>62706.2</v>
      </c>
      <c r="C3" s="11">
        <v>72033.7</v>
      </c>
      <c r="D3" s="11">
        <v>79852.5</v>
      </c>
      <c r="E3" s="11">
        <v>80859.600000000006</v>
      </c>
      <c r="F3" s="11">
        <v>79997.899999999994</v>
      </c>
      <c r="I3" s="50"/>
    </row>
    <row r="4" spans="1:9" ht="13.2">
      <c r="A4" s="1" t="s">
        <v>56</v>
      </c>
      <c r="B4" s="11">
        <v>6467.7</v>
      </c>
      <c r="C4" s="11">
        <v>7118.5</v>
      </c>
      <c r="D4" s="11">
        <v>8571.7000000000007</v>
      </c>
      <c r="E4" s="11">
        <v>9050.1</v>
      </c>
      <c r="F4" s="11">
        <v>8318.9</v>
      </c>
    </row>
    <row r="6" spans="1:9" ht="15.75" customHeight="1">
      <c r="A6" s="70" t="s">
        <v>200</v>
      </c>
      <c r="B6" s="71" t="s">
        <v>196</v>
      </c>
      <c r="C6" s="71" t="s">
        <v>197</v>
      </c>
      <c r="D6" s="71" t="s">
        <v>199</v>
      </c>
    </row>
    <row r="7" spans="1:9" ht="15.75" customHeight="1">
      <c r="A7" s="70" t="s">
        <v>138</v>
      </c>
      <c r="B7" s="72">
        <f>F4</f>
        <v>8318.9</v>
      </c>
      <c r="C7" s="73">
        <f>C8+C9</f>
        <v>9416.1796839245653</v>
      </c>
      <c r="D7" s="73">
        <f>D9/0.88</f>
        <v>10884.552746250001</v>
      </c>
    </row>
    <row r="8" spans="1:9" ht="15.75" customHeight="1">
      <c r="A8" s="70" t="s">
        <v>194</v>
      </c>
      <c r="B8" s="73">
        <f>5.7%*B7</f>
        <v>474.1773</v>
      </c>
      <c r="C8" s="73">
        <f>B8*(1+B11)</f>
        <v>786.98471392456474</v>
      </c>
      <c r="D8" s="73">
        <f>D7-D9</f>
        <v>1306.1463295499998</v>
      </c>
    </row>
    <row r="9" spans="1:9" ht="15.75" customHeight="1">
      <c r="A9" s="70" t="s">
        <v>195</v>
      </c>
      <c r="B9" s="72">
        <f>B7-B8</f>
        <v>7844.7226999999993</v>
      </c>
      <c r="C9" s="73">
        <f>B9*1.1</f>
        <v>8629.1949700000005</v>
      </c>
      <c r="D9" s="73">
        <f>C9*1.11</f>
        <v>9578.4064167000015</v>
      </c>
    </row>
    <row r="10" spans="1:9" ht="15.75" customHeight="1">
      <c r="A10" s="52"/>
    </row>
    <row r="11" spans="1:9" ht="15.75" customHeight="1">
      <c r="A11" s="52" t="s">
        <v>198</v>
      </c>
      <c r="B11" s="51">
        <f>(D8/B8)^(1/2)-1</f>
        <v>0.65968449760156123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9"/>
  <sheetViews>
    <sheetView workbookViewId="0">
      <selection activeCell="F12" sqref="F12"/>
    </sheetView>
  </sheetViews>
  <sheetFormatPr defaultColWidth="12.6640625" defaultRowHeight="15.75" customHeight="1"/>
  <sheetData>
    <row r="1" spans="1:13" ht="15.75" customHeight="1">
      <c r="A1" s="45" t="s">
        <v>57</v>
      </c>
    </row>
    <row r="2" spans="1:13" ht="15.75" customHeight="1">
      <c r="A2" s="46" t="s">
        <v>58</v>
      </c>
      <c r="B2" s="41" t="s">
        <v>59</v>
      </c>
      <c r="C2" s="41" t="s">
        <v>60</v>
      </c>
      <c r="D2" s="12" t="s">
        <v>61</v>
      </c>
      <c r="E2" s="12" t="s">
        <v>62</v>
      </c>
      <c r="F2" s="47">
        <v>45732</v>
      </c>
      <c r="G2" s="41" t="s">
        <v>63</v>
      </c>
      <c r="H2" s="8"/>
    </row>
    <row r="3" spans="1:13" ht="13.2">
      <c r="A3" s="48"/>
      <c r="B3" s="42"/>
      <c r="C3" s="42"/>
      <c r="D3" s="42"/>
      <c r="E3" s="42"/>
      <c r="F3" s="42"/>
      <c r="G3" s="42"/>
      <c r="H3" s="8"/>
    </row>
    <row r="4" spans="1:13" ht="15.75" customHeight="1">
      <c r="A4" s="43" t="s">
        <v>64</v>
      </c>
      <c r="B4" s="13">
        <v>373.77</v>
      </c>
      <c r="C4" s="13">
        <v>400.52</v>
      </c>
      <c r="D4" s="13">
        <v>401.26</v>
      </c>
      <c r="E4" s="13">
        <v>315.5</v>
      </c>
      <c r="F4" s="13">
        <v>287.04000000000002</v>
      </c>
      <c r="G4" s="13">
        <v>393.95</v>
      </c>
      <c r="H4" s="8"/>
    </row>
    <row r="5" spans="1:13" ht="15.75" customHeight="1">
      <c r="A5" s="43" t="s">
        <v>65</v>
      </c>
      <c r="B5" s="14">
        <v>4671.8599999999997</v>
      </c>
      <c r="C5" s="14">
        <v>5910.03</v>
      </c>
      <c r="D5" s="14">
        <v>6501.09</v>
      </c>
      <c r="E5" s="14">
        <v>7812.83</v>
      </c>
      <c r="F5" s="14">
        <v>8284.19</v>
      </c>
      <c r="G5" s="14">
        <v>8362.92</v>
      </c>
      <c r="H5" s="8"/>
    </row>
    <row r="6" spans="1:13" ht="15.75" customHeight="1">
      <c r="A6" s="41" t="s">
        <v>66</v>
      </c>
      <c r="B6" s="42"/>
      <c r="C6" s="42"/>
      <c r="D6" s="42"/>
      <c r="E6" s="42"/>
      <c r="F6" s="42"/>
      <c r="G6" s="42"/>
      <c r="H6" s="8"/>
    </row>
    <row r="7" spans="1:13" ht="15.75" customHeight="1">
      <c r="A7" s="43" t="s">
        <v>67</v>
      </c>
      <c r="B7" s="13">
        <v>1140.73</v>
      </c>
      <c r="C7" s="13">
        <v>1260.01</v>
      </c>
      <c r="D7" s="13">
        <v>1236.56</v>
      </c>
      <c r="E7" s="13">
        <v>1373.78</v>
      </c>
      <c r="F7" s="13">
        <v>2453.4699999999998</v>
      </c>
      <c r="G7" s="13">
        <v>2078.2600000000002</v>
      </c>
      <c r="H7" s="8"/>
    </row>
    <row r="8" spans="1:13" ht="15.75" customHeight="1">
      <c r="A8" s="43" t="s">
        <v>68</v>
      </c>
      <c r="B8" s="13">
        <v>344.43</v>
      </c>
      <c r="C8" s="13">
        <v>445.03</v>
      </c>
      <c r="D8" s="13">
        <v>528.53</v>
      </c>
      <c r="E8" s="13">
        <v>609.33000000000004</v>
      </c>
      <c r="F8" s="13">
        <v>589.5</v>
      </c>
      <c r="G8" s="13">
        <v>497.68</v>
      </c>
      <c r="H8" s="8"/>
    </row>
    <row r="9" spans="1:13" ht="15.75" customHeight="1">
      <c r="A9" s="44" t="s">
        <v>69</v>
      </c>
      <c r="B9" s="15">
        <v>-89.59</v>
      </c>
      <c r="C9" s="15">
        <v>-51.68</v>
      </c>
      <c r="D9" s="15">
        <v>-11.18</v>
      </c>
      <c r="E9" s="13">
        <v>2.71</v>
      </c>
      <c r="F9" s="15">
        <v>-63.26</v>
      </c>
      <c r="G9" s="13">
        <v>115.11</v>
      </c>
      <c r="H9" s="8"/>
    </row>
    <row r="10" spans="1:13" ht="15.75" customHeight="1">
      <c r="A10" s="43" t="s">
        <v>70</v>
      </c>
      <c r="B10" s="13">
        <v>228.96</v>
      </c>
      <c r="C10" s="16">
        <v>295.01799999999997</v>
      </c>
      <c r="D10" s="13">
        <v>341.81</v>
      </c>
      <c r="E10" s="16">
        <v>390.49799999999999</v>
      </c>
      <c r="F10" s="49">
        <v>475.40499999999997</v>
      </c>
      <c r="G10" s="13">
        <v>613.89</v>
      </c>
      <c r="H10" s="8"/>
    </row>
    <row r="11" spans="1:13" ht="15.75" customHeight="1">
      <c r="A11" s="43" t="s">
        <v>71</v>
      </c>
      <c r="B11" s="13">
        <v>0.79</v>
      </c>
      <c r="C11" s="13">
        <v>0.82</v>
      </c>
      <c r="D11" s="13">
        <v>58.85</v>
      </c>
      <c r="E11" s="13">
        <v>1.35</v>
      </c>
      <c r="F11" s="13">
        <v>2.2599999999999998</v>
      </c>
      <c r="G11" s="13">
        <v>10.33</v>
      </c>
      <c r="H11" s="8"/>
    </row>
    <row r="12" spans="1:13" ht="15.75" customHeight="1">
      <c r="A12" s="43" t="s">
        <v>72</v>
      </c>
      <c r="B12" s="13">
        <v>26.02</v>
      </c>
      <c r="C12" s="13">
        <v>39.76</v>
      </c>
      <c r="D12" s="13">
        <v>43.34</v>
      </c>
      <c r="E12" s="13">
        <v>48.65</v>
      </c>
      <c r="F12" s="13">
        <v>48.95</v>
      </c>
      <c r="G12" s="13">
        <v>53.18</v>
      </c>
      <c r="H12" s="95"/>
      <c r="I12" s="95"/>
      <c r="J12" s="95"/>
      <c r="K12" s="95"/>
      <c r="L12" s="95"/>
      <c r="M12" s="95"/>
    </row>
    <row r="13" spans="1:13" ht="15.75" customHeight="1">
      <c r="A13" s="43" t="s">
        <v>73</v>
      </c>
      <c r="B13" s="17">
        <v>1508.38</v>
      </c>
      <c r="C13" s="17">
        <v>1836.16</v>
      </c>
      <c r="D13" s="17">
        <v>2144.34</v>
      </c>
      <c r="E13" s="17">
        <v>2728.61</v>
      </c>
      <c r="F13" s="17">
        <v>1804.79</v>
      </c>
      <c r="G13" s="17">
        <v>2028.15</v>
      </c>
      <c r="H13" s="8"/>
    </row>
    <row r="14" spans="1:13" ht="15.75" customHeight="1">
      <c r="A14" s="41" t="s">
        <v>74</v>
      </c>
      <c r="B14" s="18">
        <v>3159.71</v>
      </c>
      <c r="C14" s="18">
        <v>3825.12</v>
      </c>
      <c r="D14" s="18">
        <v>4342.25</v>
      </c>
      <c r="E14" s="18">
        <v>5154.93</v>
      </c>
      <c r="F14" s="18">
        <v>5311.12</v>
      </c>
      <c r="G14" s="18">
        <v>5396.6</v>
      </c>
      <c r="H14" s="8"/>
    </row>
    <row r="15" spans="1:13" ht="15.75" customHeight="1">
      <c r="A15" s="43" t="s">
        <v>75</v>
      </c>
      <c r="B15" s="17">
        <v>1512.15</v>
      </c>
      <c r="C15" s="17">
        <v>2084.91</v>
      </c>
      <c r="D15" s="17">
        <v>2158.84</v>
      </c>
      <c r="E15" s="17">
        <v>2657.9</v>
      </c>
      <c r="F15" s="17">
        <v>2973.08</v>
      </c>
      <c r="G15" s="17">
        <v>2966.32</v>
      </c>
      <c r="H15" s="8"/>
    </row>
    <row r="16" spans="1:13" ht="15.75" customHeight="1">
      <c r="A16" s="43" t="s">
        <v>76</v>
      </c>
      <c r="B16" s="19">
        <v>0</v>
      </c>
      <c r="C16" s="19">
        <v>0</v>
      </c>
      <c r="D16" s="20">
        <v>-285.97000000000003</v>
      </c>
      <c r="E16" s="20">
        <v>-469.8</v>
      </c>
      <c r="F16" s="20">
        <v>-469.8</v>
      </c>
      <c r="G16" s="20">
        <v>-183.84</v>
      </c>
      <c r="H16" s="8"/>
    </row>
    <row r="17" spans="1:8" ht="15.75" customHeight="1">
      <c r="A17" s="43" t="s">
        <v>77</v>
      </c>
      <c r="B17" s="14">
        <v>1512.15</v>
      </c>
      <c r="C17" s="14">
        <v>2084.91</v>
      </c>
      <c r="D17" s="14">
        <v>1872.88</v>
      </c>
      <c r="E17" s="14">
        <v>2188.1</v>
      </c>
      <c r="F17" s="14">
        <v>2503.2800000000002</v>
      </c>
      <c r="G17" s="14">
        <v>2782.49</v>
      </c>
      <c r="H17" s="8"/>
    </row>
    <row r="18" spans="1:8" ht="15.75" customHeight="1">
      <c r="A18" s="43" t="s">
        <v>78</v>
      </c>
      <c r="B18" s="19">
        <v>302.27</v>
      </c>
      <c r="C18" s="19">
        <v>418.25</v>
      </c>
      <c r="D18" s="19">
        <v>394.37</v>
      </c>
      <c r="E18" s="19">
        <v>459.97</v>
      </c>
      <c r="F18" s="19">
        <v>536.94000000000005</v>
      </c>
      <c r="G18" s="19">
        <v>599.49</v>
      </c>
      <c r="H18" s="8"/>
    </row>
    <row r="19" spans="1:8" ht="15.75" customHeight="1">
      <c r="A19" s="43" t="s">
        <v>79</v>
      </c>
      <c r="B19" s="19">
        <v>9.1300000000000008</v>
      </c>
      <c r="C19" s="19">
        <v>5.07</v>
      </c>
      <c r="D19" s="20">
        <v>-10.76</v>
      </c>
      <c r="E19" s="19">
        <v>1.53</v>
      </c>
      <c r="F19" s="19">
        <v>1.56</v>
      </c>
      <c r="G19" s="19">
        <v>0.57999999999999996</v>
      </c>
      <c r="H19"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32"/>
  <sheetViews>
    <sheetView workbookViewId="0">
      <pane xSplit="2" ySplit="2" topLeftCell="D13" activePane="bottomRight" state="frozen"/>
      <selection pane="topRight" activeCell="C1" sqref="C1"/>
      <selection pane="bottomLeft" activeCell="A3" sqref="A3"/>
      <selection pane="bottomRight" activeCell="M19" sqref="M19"/>
    </sheetView>
  </sheetViews>
  <sheetFormatPr defaultColWidth="12.6640625" defaultRowHeight="15.75" customHeight="1"/>
  <sheetData>
    <row r="1" spans="1:14" ht="13.2">
      <c r="A1" s="121" t="s">
        <v>139</v>
      </c>
      <c r="B1" s="109"/>
      <c r="C1" s="109"/>
      <c r="D1" s="109"/>
      <c r="E1" s="109"/>
      <c r="F1" s="109"/>
      <c r="G1" s="109"/>
      <c r="H1" s="109"/>
      <c r="I1" s="109"/>
      <c r="J1" s="109"/>
      <c r="K1" s="109"/>
      <c r="L1" s="109"/>
      <c r="M1" s="109"/>
      <c r="N1" s="109"/>
    </row>
    <row r="2" spans="1:14" ht="13.2">
      <c r="A2" s="118" t="s">
        <v>140</v>
      </c>
      <c r="B2" s="112"/>
      <c r="C2" s="118" t="s">
        <v>141</v>
      </c>
      <c r="D2" s="112"/>
      <c r="E2" s="118" t="s">
        <v>142</v>
      </c>
      <c r="F2" s="112"/>
      <c r="G2" s="118" t="s">
        <v>143</v>
      </c>
      <c r="H2" s="112"/>
      <c r="I2" s="118" t="s">
        <v>144</v>
      </c>
      <c r="J2" s="112"/>
      <c r="K2" s="118" t="s">
        <v>145</v>
      </c>
      <c r="L2" s="112"/>
      <c r="M2" s="35" t="s">
        <v>146</v>
      </c>
      <c r="N2" s="8"/>
    </row>
    <row r="3" spans="1:14" ht="13.2">
      <c r="A3" s="118" t="s">
        <v>147</v>
      </c>
      <c r="B3" s="112"/>
      <c r="C3" s="120"/>
      <c r="D3" s="112"/>
      <c r="E3" s="120"/>
      <c r="F3" s="112"/>
      <c r="G3" s="120"/>
      <c r="H3" s="112"/>
      <c r="I3" s="120"/>
      <c r="J3" s="112"/>
      <c r="K3" s="120"/>
      <c r="L3" s="112"/>
      <c r="M3" s="6"/>
      <c r="N3" s="8"/>
    </row>
    <row r="4" spans="1:14" ht="13.2">
      <c r="A4" s="118" t="s">
        <v>148</v>
      </c>
      <c r="B4" s="112"/>
      <c r="C4" s="120"/>
      <c r="D4" s="112"/>
      <c r="E4" s="120"/>
      <c r="F4" s="112"/>
      <c r="G4" s="120"/>
      <c r="H4" s="112"/>
      <c r="I4" s="120"/>
      <c r="J4" s="112"/>
      <c r="K4" s="120"/>
      <c r="L4" s="112"/>
      <c r="M4" s="6"/>
      <c r="N4" s="8"/>
    </row>
    <row r="5" spans="1:14" ht="13.2">
      <c r="A5" s="115" t="s">
        <v>149</v>
      </c>
      <c r="B5" s="112"/>
      <c r="C5" s="114">
        <v>147.5</v>
      </c>
      <c r="D5" s="112"/>
      <c r="E5" s="114">
        <v>147.5</v>
      </c>
      <c r="F5" s="112"/>
      <c r="G5" s="114">
        <v>147.5</v>
      </c>
      <c r="H5" s="112"/>
      <c r="I5" s="114">
        <v>147.5</v>
      </c>
      <c r="J5" s="112"/>
      <c r="K5" s="114">
        <v>147.5</v>
      </c>
      <c r="L5" s="112"/>
      <c r="M5" s="36">
        <v>147.5</v>
      </c>
      <c r="N5" s="8"/>
    </row>
    <row r="6" spans="1:14" ht="13.2">
      <c r="A6" s="115" t="s">
        <v>150</v>
      </c>
      <c r="B6" s="112"/>
      <c r="C6" s="117">
        <v>4130.8999999999996</v>
      </c>
      <c r="D6" s="112"/>
      <c r="E6" s="117">
        <v>4678.2</v>
      </c>
      <c r="F6" s="112"/>
      <c r="G6" s="117">
        <v>5044.8999999999996</v>
      </c>
      <c r="H6" s="112"/>
      <c r="I6" s="117">
        <v>4738.1000000000004</v>
      </c>
      <c r="J6" s="112"/>
      <c r="K6" s="117">
        <v>4663.1000000000004</v>
      </c>
      <c r="L6" s="112"/>
      <c r="M6" s="37">
        <v>4794.3999999999996</v>
      </c>
      <c r="N6" s="8"/>
    </row>
    <row r="7" spans="1:14" ht="13.2">
      <c r="A7" s="118" t="s">
        <v>151</v>
      </c>
      <c r="B7" s="112"/>
      <c r="C7" s="116">
        <v>4278.3999999999996</v>
      </c>
      <c r="D7" s="112"/>
      <c r="E7" s="116">
        <v>4825.7</v>
      </c>
      <c r="F7" s="112"/>
      <c r="G7" s="116">
        <v>5192.3999999999996</v>
      </c>
      <c r="H7" s="112"/>
      <c r="I7" s="116">
        <v>4885.6000000000004</v>
      </c>
      <c r="J7" s="112"/>
      <c r="K7" s="116">
        <v>4810.6000000000004</v>
      </c>
      <c r="L7" s="112"/>
      <c r="M7" s="38">
        <v>4941.8999999999996</v>
      </c>
      <c r="N7" s="8"/>
    </row>
    <row r="8" spans="1:14" ht="13.2">
      <c r="A8" s="118" t="s">
        <v>152</v>
      </c>
      <c r="B8" s="112"/>
      <c r="C8" s="120"/>
      <c r="D8" s="112"/>
      <c r="E8" s="120"/>
      <c r="F8" s="112"/>
      <c r="G8" s="120"/>
      <c r="H8" s="112"/>
      <c r="I8" s="120"/>
      <c r="J8" s="112"/>
      <c r="K8" s="120"/>
      <c r="L8" s="112"/>
      <c r="M8" s="6"/>
      <c r="N8" s="8"/>
    </row>
    <row r="9" spans="1:14" ht="13.2">
      <c r="A9" s="115" t="s">
        <v>153</v>
      </c>
      <c r="B9" s="112"/>
      <c r="C9" s="114">
        <v>9.6</v>
      </c>
      <c r="D9" s="112"/>
      <c r="E9" s="114">
        <v>14.7</v>
      </c>
      <c r="F9" s="112"/>
      <c r="G9" s="114">
        <v>3.9</v>
      </c>
      <c r="H9" s="112"/>
      <c r="I9" s="114">
        <v>5.5</v>
      </c>
      <c r="J9" s="112"/>
      <c r="K9" s="114">
        <v>7.5</v>
      </c>
      <c r="L9" s="112"/>
      <c r="M9" s="36">
        <v>7.7</v>
      </c>
      <c r="N9" s="8"/>
    </row>
    <row r="10" spans="1:14" ht="13.2">
      <c r="A10" s="115" t="s">
        <v>154</v>
      </c>
      <c r="B10" s="112"/>
      <c r="C10" s="119" t="s">
        <v>155</v>
      </c>
      <c r="D10" s="112"/>
      <c r="E10" s="119" t="s">
        <v>156</v>
      </c>
      <c r="F10" s="112"/>
      <c r="G10" s="119" t="s">
        <v>157</v>
      </c>
      <c r="H10" s="112"/>
      <c r="I10" s="119" t="s">
        <v>158</v>
      </c>
      <c r="J10" s="112"/>
      <c r="K10" s="114">
        <v>100</v>
      </c>
      <c r="L10" s="112"/>
      <c r="M10" s="36">
        <v>150</v>
      </c>
      <c r="N10" s="8"/>
    </row>
    <row r="11" spans="1:14" ht="13.2">
      <c r="A11" s="118" t="s">
        <v>159</v>
      </c>
      <c r="B11" s="112"/>
      <c r="C11" s="120"/>
      <c r="D11" s="112"/>
      <c r="E11" s="120"/>
      <c r="F11" s="112"/>
      <c r="G11" s="120"/>
      <c r="H11" s="112"/>
      <c r="I11" s="120"/>
      <c r="J11" s="112"/>
      <c r="K11" s="120"/>
      <c r="L11" s="112"/>
      <c r="M11" s="6"/>
      <c r="N11" s="8"/>
    </row>
    <row r="12" spans="1:14" ht="13.2">
      <c r="A12" s="115" t="s">
        <v>160</v>
      </c>
      <c r="B12" s="112"/>
      <c r="C12" s="114">
        <v>0</v>
      </c>
      <c r="D12" s="112"/>
      <c r="E12" s="114">
        <v>0</v>
      </c>
      <c r="F12" s="112"/>
      <c r="G12" s="114">
        <v>0</v>
      </c>
      <c r="H12" s="112"/>
      <c r="I12" s="114">
        <v>0</v>
      </c>
      <c r="J12" s="112"/>
      <c r="K12" s="114">
        <v>0</v>
      </c>
      <c r="L12" s="112"/>
      <c r="M12" s="36">
        <v>2.4</v>
      </c>
      <c r="N12" s="8"/>
    </row>
    <row r="13" spans="1:14" ht="13.2">
      <c r="A13" s="115" t="s">
        <v>161</v>
      </c>
      <c r="B13" s="112"/>
      <c r="C13" s="114">
        <v>181.4</v>
      </c>
      <c r="D13" s="112"/>
      <c r="E13" s="114">
        <v>216.6</v>
      </c>
      <c r="F13" s="112"/>
      <c r="G13" s="114">
        <v>191</v>
      </c>
      <c r="H13" s="112"/>
      <c r="I13" s="114">
        <v>273.8</v>
      </c>
      <c r="J13" s="112"/>
      <c r="K13" s="114">
        <v>309</v>
      </c>
      <c r="L13" s="112"/>
      <c r="M13" s="36">
        <v>390.9</v>
      </c>
      <c r="N13" s="8"/>
    </row>
    <row r="14" spans="1:14" ht="13.2">
      <c r="A14" s="113" t="s">
        <v>162</v>
      </c>
      <c r="B14" s="112"/>
      <c r="C14" s="114">
        <v>471.2</v>
      </c>
      <c r="D14" s="112"/>
      <c r="E14" s="114">
        <v>494.5</v>
      </c>
      <c r="F14" s="112"/>
      <c r="G14" s="114">
        <v>405.5</v>
      </c>
      <c r="H14" s="112"/>
      <c r="I14" s="114">
        <v>514.29999999999995</v>
      </c>
      <c r="J14" s="112"/>
      <c r="K14" s="114">
        <v>435.1</v>
      </c>
      <c r="L14" s="112"/>
      <c r="M14" s="36">
        <v>402.5</v>
      </c>
      <c r="N14" s="8"/>
    </row>
    <row r="15" spans="1:14" ht="13.2">
      <c r="A15" s="118" t="s">
        <v>163</v>
      </c>
      <c r="B15" s="112"/>
      <c r="C15" s="122">
        <v>662.3</v>
      </c>
      <c r="D15" s="112"/>
      <c r="E15" s="122">
        <v>725.8</v>
      </c>
      <c r="F15" s="112"/>
      <c r="G15" s="122">
        <v>600.5</v>
      </c>
      <c r="H15" s="112"/>
      <c r="I15" s="122">
        <v>793.6</v>
      </c>
      <c r="J15" s="112"/>
      <c r="K15" s="122">
        <v>851.7</v>
      </c>
      <c r="L15" s="112"/>
      <c r="M15" s="39">
        <v>953.5</v>
      </c>
      <c r="N15" s="8"/>
    </row>
    <row r="16" spans="1:14" ht="13.2">
      <c r="A16" s="118" t="s">
        <v>164</v>
      </c>
      <c r="B16" s="112"/>
      <c r="C16" s="116">
        <v>4940.7</v>
      </c>
      <c r="D16" s="112"/>
      <c r="E16" s="116">
        <v>5551.5</v>
      </c>
      <c r="F16" s="112"/>
      <c r="G16" s="116">
        <v>5792.9</v>
      </c>
      <c r="H16" s="112"/>
      <c r="I16" s="116">
        <v>5679.2</v>
      </c>
      <c r="J16" s="112"/>
      <c r="K16" s="116">
        <v>5662.2</v>
      </c>
      <c r="L16" s="112"/>
      <c r="M16" s="38">
        <v>5895.3</v>
      </c>
      <c r="N16" s="8"/>
    </row>
    <row r="17" spans="1:23" ht="13.2">
      <c r="A17" s="118" t="s">
        <v>165</v>
      </c>
      <c r="B17" s="112"/>
      <c r="C17" s="120"/>
      <c r="D17" s="112"/>
      <c r="E17" s="120"/>
      <c r="F17" s="112"/>
      <c r="G17" s="120"/>
      <c r="H17" s="112"/>
      <c r="I17" s="120"/>
      <c r="J17" s="112"/>
      <c r="K17" s="120"/>
      <c r="L17" s="112"/>
      <c r="M17" s="6"/>
      <c r="N17" s="8"/>
    </row>
    <row r="18" spans="1:23" ht="13.2">
      <c r="A18" s="118" t="s">
        <v>166</v>
      </c>
      <c r="B18" s="112"/>
      <c r="C18" s="120"/>
      <c r="D18" s="112"/>
      <c r="E18" s="120"/>
      <c r="F18" s="112"/>
      <c r="G18" s="120"/>
      <c r="H18" s="112"/>
      <c r="I18" s="120"/>
      <c r="J18" s="112"/>
      <c r="K18" s="120"/>
      <c r="L18" s="112"/>
      <c r="M18" s="6"/>
      <c r="N18" s="8"/>
      <c r="P18" s="55"/>
      <c r="R18" s="55"/>
      <c r="T18" s="55"/>
      <c r="V18" s="55"/>
    </row>
    <row r="19" spans="1:23" ht="13.2">
      <c r="A19" s="115" t="s">
        <v>167</v>
      </c>
      <c r="B19" s="112"/>
      <c r="C19" s="114">
        <v>875</v>
      </c>
      <c r="D19" s="112"/>
      <c r="E19" s="117">
        <v>1302.2</v>
      </c>
      <c r="F19" s="112"/>
      <c r="G19" s="117">
        <v>2782.2</v>
      </c>
      <c r="H19" s="112"/>
      <c r="I19" s="117">
        <v>2788.7</v>
      </c>
      <c r="J19" s="112"/>
      <c r="K19" s="117">
        <v>1254.5</v>
      </c>
      <c r="L19" s="112"/>
      <c r="M19" s="37">
        <v>1708.4</v>
      </c>
      <c r="N19" s="92"/>
      <c r="O19" s="92"/>
      <c r="P19" s="92"/>
      <c r="Q19" s="92"/>
      <c r="R19" s="92"/>
      <c r="S19" s="92"/>
      <c r="T19" s="92"/>
      <c r="U19" s="92"/>
      <c r="V19" s="92"/>
      <c r="W19" s="92"/>
    </row>
    <row r="20" spans="1:23" ht="13.2">
      <c r="A20" s="115" t="s">
        <v>168</v>
      </c>
      <c r="B20" s="112"/>
      <c r="C20" s="114">
        <v>819.3</v>
      </c>
      <c r="D20" s="112"/>
      <c r="E20" s="117">
        <v>1207.9000000000001</v>
      </c>
      <c r="F20" s="112"/>
      <c r="G20" s="117">
        <v>2358.5</v>
      </c>
      <c r="H20" s="112"/>
      <c r="I20" s="117">
        <v>1846.8</v>
      </c>
      <c r="J20" s="112"/>
      <c r="K20" s="117">
        <v>1393.1</v>
      </c>
      <c r="L20" s="112"/>
      <c r="M20" s="37">
        <v>1615.5</v>
      </c>
      <c r="N20" s="93"/>
      <c r="O20" s="93"/>
      <c r="P20" s="93"/>
      <c r="Q20" s="93"/>
      <c r="R20" s="93"/>
      <c r="S20" s="93"/>
      <c r="T20" s="93"/>
      <c r="U20" s="93"/>
    </row>
    <row r="21" spans="1:23" ht="13.2">
      <c r="A21" s="115" t="s">
        <v>169</v>
      </c>
      <c r="B21" s="112"/>
      <c r="C21" s="119" t="s">
        <v>170</v>
      </c>
      <c r="D21" s="112"/>
      <c r="E21" s="114">
        <v>13</v>
      </c>
      <c r="F21" s="112"/>
      <c r="G21" s="114">
        <v>7</v>
      </c>
      <c r="H21" s="112"/>
      <c r="I21" s="114">
        <v>7.4</v>
      </c>
      <c r="J21" s="112"/>
      <c r="K21" s="114">
        <v>8.5</v>
      </c>
      <c r="L21" s="112"/>
      <c r="M21" s="36">
        <v>0.3</v>
      </c>
      <c r="N21" s="8"/>
    </row>
    <row r="22" spans="1:23" ht="25.8" customHeight="1">
      <c r="A22" s="113" t="s">
        <v>171</v>
      </c>
      <c r="B22" s="112"/>
      <c r="C22" s="114">
        <v>8.5</v>
      </c>
      <c r="D22" s="112"/>
      <c r="E22" s="114">
        <v>12.9</v>
      </c>
      <c r="F22" s="112"/>
      <c r="G22" s="114">
        <v>6.9</v>
      </c>
      <c r="H22" s="112"/>
      <c r="I22" s="114">
        <v>6.7</v>
      </c>
      <c r="J22" s="112"/>
      <c r="K22" s="114">
        <v>3.7</v>
      </c>
      <c r="L22" s="112"/>
      <c r="M22" s="36">
        <v>11.9</v>
      </c>
      <c r="N22" s="8"/>
    </row>
    <row r="23" spans="1:23" ht="13.2">
      <c r="A23" s="119" t="s">
        <v>172</v>
      </c>
      <c r="B23" s="112"/>
      <c r="C23" s="119" t="s">
        <v>173</v>
      </c>
      <c r="D23" s="112"/>
      <c r="E23" s="119" t="s">
        <v>174</v>
      </c>
      <c r="F23" s="112"/>
      <c r="G23" s="119" t="s">
        <v>175</v>
      </c>
      <c r="H23" s="112"/>
      <c r="I23" s="119" t="s">
        <v>176</v>
      </c>
      <c r="J23" s="112"/>
      <c r="K23" s="119" t="s">
        <v>177</v>
      </c>
      <c r="L23" s="112"/>
      <c r="M23" s="40" t="s">
        <v>178</v>
      </c>
      <c r="N23" s="8"/>
      <c r="O23" s="94"/>
    </row>
    <row r="24" spans="1:23" ht="13.2">
      <c r="A24" s="119" t="s">
        <v>179</v>
      </c>
      <c r="B24" s="112"/>
      <c r="C24" s="119" t="s">
        <v>180</v>
      </c>
      <c r="D24" s="112"/>
      <c r="E24" s="119" t="s">
        <v>181</v>
      </c>
      <c r="F24" s="112"/>
      <c r="G24" s="119" t="s">
        <v>182</v>
      </c>
      <c r="H24" s="112"/>
      <c r="I24" s="119" t="s">
        <v>183</v>
      </c>
      <c r="J24" s="112"/>
      <c r="K24" s="114">
        <v>102</v>
      </c>
      <c r="L24" s="112"/>
      <c r="M24" s="36">
        <v>9.3000000000000007</v>
      </c>
      <c r="N24" s="8"/>
    </row>
    <row r="25" spans="1:23" ht="13.2">
      <c r="A25" s="118" t="s">
        <v>184</v>
      </c>
      <c r="B25" s="112"/>
      <c r="C25" s="120"/>
      <c r="D25" s="112"/>
      <c r="E25" s="120"/>
      <c r="F25" s="112"/>
      <c r="G25" s="120"/>
      <c r="H25" s="112"/>
      <c r="I25" s="120"/>
      <c r="J25" s="112"/>
      <c r="K25" s="120"/>
      <c r="L25" s="112"/>
      <c r="M25" s="6"/>
      <c r="N25" s="8"/>
    </row>
    <row r="26" spans="1:23" ht="13.2">
      <c r="A26" s="115" t="s">
        <v>185</v>
      </c>
      <c r="B26" s="112"/>
      <c r="C26" s="114">
        <v>29</v>
      </c>
      <c r="D26" s="112"/>
      <c r="E26" s="114">
        <v>114.5</v>
      </c>
      <c r="F26" s="112"/>
      <c r="G26" s="114">
        <v>55.8</v>
      </c>
      <c r="H26" s="112"/>
      <c r="I26" s="114">
        <v>85.7</v>
      </c>
      <c r="J26" s="112"/>
      <c r="K26" s="114">
        <v>42.1</v>
      </c>
      <c r="L26" s="112"/>
      <c r="M26" s="36">
        <v>47.3</v>
      </c>
      <c r="N26" s="8"/>
    </row>
    <row r="27" spans="1:23" ht="13.2">
      <c r="A27" s="113" t="s">
        <v>186</v>
      </c>
      <c r="B27" s="112"/>
      <c r="C27" s="114">
        <v>51.4</v>
      </c>
      <c r="D27" s="112"/>
      <c r="E27" s="114">
        <v>99.7</v>
      </c>
      <c r="F27" s="112"/>
      <c r="G27" s="114">
        <v>83.7</v>
      </c>
      <c r="H27" s="112"/>
      <c r="I27" s="114">
        <v>132.6</v>
      </c>
      <c r="J27" s="112"/>
      <c r="K27" s="114">
        <v>253.5</v>
      </c>
      <c r="L27" s="112"/>
      <c r="M27" s="36">
        <v>274.3</v>
      </c>
      <c r="N27" s="8"/>
    </row>
    <row r="28" spans="1:23" ht="13.2">
      <c r="A28" s="115" t="s">
        <v>187</v>
      </c>
      <c r="B28" s="112"/>
      <c r="C28" s="114">
        <v>619.4</v>
      </c>
      <c r="D28" s="112"/>
      <c r="E28" s="114">
        <v>358.5</v>
      </c>
      <c r="F28" s="112"/>
      <c r="G28" s="114">
        <v>394.5</v>
      </c>
      <c r="H28" s="112"/>
      <c r="I28" s="114">
        <v>392.7</v>
      </c>
      <c r="J28" s="112"/>
      <c r="K28" s="114">
        <v>501.9</v>
      </c>
      <c r="L28" s="112"/>
      <c r="M28" s="36">
        <v>424.8</v>
      </c>
      <c r="N28" s="8"/>
    </row>
    <row r="29" spans="1:23" ht="13.2">
      <c r="A29" s="115" t="s">
        <v>188</v>
      </c>
      <c r="B29" s="112"/>
      <c r="C29" s="114">
        <v>12.2</v>
      </c>
      <c r="D29" s="112"/>
      <c r="E29" s="114">
        <v>20.8</v>
      </c>
      <c r="F29" s="112"/>
      <c r="G29" s="114">
        <v>26</v>
      </c>
      <c r="H29" s="112"/>
      <c r="I29" s="114">
        <v>28.8</v>
      </c>
      <c r="J29" s="112"/>
      <c r="K29" s="119" t="s">
        <v>189</v>
      </c>
      <c r="L29" s="112"/>
      <c r="M29" s="40" t="s">
        <v>190</v>
      </c>
      <c r="N29" s="8"/>
    </row>
    <row r="30" spans="1:23" ht="13.2">
      <c r="A30" s="115" t="s">
        <v>191</v>
      </c>
      <c r="B30" s="112"/>
      <c r="C30" s="114">
        <v>274.7</v>
      </c>
      <c r="D30" s="112"/>
      <c r="E30" s="117">
        <v>1891.8</v>
      </c>
      <c r="F30" s="112"/>
      <c r="G30" s="117">
        <v>1292</v>
      </c>
      <c r="H30" s="112"/>
      <c r="I30" s="117">
        <v>1341.8</v>
      </c>
      <c r="J30" s="112"/>
      <c r="K30" s="114">
        <v>606.70000000000005</v>
      </c>
      <c r="L30" s="112"/>
      <c r="M30" s="36">
        <v>126.4</v>
      </c>
      <c r="N30" s="8"/>
    </row>
    <row r="31" spans="1:23" ht="13.2">
      <c r="A31" s="115" t="s">
        <v>192</v>
      </c>
      <c r="B31" s="112"/>
      <c r="C31" s="117">
        <v>3126.1</v>
      </c>
      <c r="D31" s="112"/>
      <c r="E31" s="117">
        <v>1832.4</v>
      </c>
      <c r="F31" s="112"/>
      <c r="G31" s="117">
        <v>1568.4</v>
      </c>
      <c r="H31" s="112"/>
      <c r="I31" s="117">
        <v>1836.6</v>
      </c>
      <c r="J31" s="112"/>
      <c r="K31" s="117">
        <v>2750.6</v>
      </c>
      <c r="L31" s="112"/>
      <c r="M31" s="37">
        <v>3385.4</v>
      </c>
      <c r="N31" s="8"/>
    </row>
    <row r="32" spans="1:23" ht="13.2">
      <c r="A32" s="118" t="s">
        <v>193</v>
      </c>
      <c r="B32" s="112"/>
      <c r="C32" s="116">
        <v>4940.7</v>
      </c>
      <c r="D32" s="112"/>
      <c r="E32" s="116">
        <v>5551.5</v>
      </c>
      <c r="F32" s="112"/>
      <c r="G32" s="116">
        <v>5792.9</v>
      </c>
      <c r="H32" s="112"/>
      <c r="I32" s="116">
        <v>5679.2</v>
      </c>
      <c r="J32" s="112"/>
      <c r="K32" s="116">
        <v>5662.2</v>
      </c>
      <c r="L32" s="112"/>
      <c r="M32" s="38">
        <v>5895.3</v>
      </c>
      <c r="N32" s="8"/>
    </row>
  </sheetData>
  <mergeCells count="187">
    <mergeCell ref="A29:B29"/>
    <mergeCell ref="A30:B30"/>
    <mergeCell ref="C30:D30"/>
    <mergeCell ref="E30:F30"/>
    <mergeCell ref="G30:H30"/>
    <mergeCell ref="I30:J30"/>
    <mergeCell ref="K30:L30"/>
    <mergeCell ref="G28:H28"/>
    <mergeCell ref="I28:J28"/>
    <mergeCell ref="K15:L15"/>
    <mergeCell ref="G16:H16"/>
    <mergeCell ref="I16:J16"/>
    <mergeCell ref="K16:L16"/>
    <mergeCell ref="A13:B13"/>
    <mergeCell ref="C13:D13"/>
    <mergeCell ref="E13:F13"/>
    <mergeCell ref="G13:H13"/>
    <mergeCell ref="I13:J13"/>
    <mergeCell ref="K13:L13"/>
    <mergeCell ref="A14:B14"/>
    <mergeCell ref="K14:L14"/>
    <mergeCell ref="A16:B16"/>
    <mergeCell ref="C14:D14"/>
    <mergeCell ref="E14:F14"/>
    <mergeCell ref="A15:B15"/>
    <mergeCell ref="C15:D15"/>
    <mergeCell ref="E15:F15"/>
    <mergeCell ref="C16:D16"/>
    <mergeCell ref="E16:F16"/>
    <mergeCell ref="G14:H14"/>
    <mergeCell ref="I14:J14"/>
    <mergeCell ref="G15:H15"/>
    <mergeCell ref="I15:J15"/>
    <mergeCell ref="A21:B21"/>
    <mergeCell ref="G21:H21"/>
    <mergeCell ref="I21:J21"/>
    <mergeCell ref="K21:L21"/>
    <mergeCell ref="C21:D21"/>
    <mergeCell ref="E21:F21"/>
    <mergeCell ref="A17:B17"/>
    <mergeCell ref="C17:D17"/>
    <mergeCell ref="E17:F17"/>
    <mergeCell ref="G17:H17"/>
    <mergeCell ref="I17:J17"/>
    <mergeCell ref="K17:L17"/>
    <mergeCell ref="A22:B22"/>
    <mergeCell ref="C22:D22"/>
    <mergeCell ref="E22:F22"/>
    <mergeCell ref="G22:H22"/>
    <mergeCell ref="I22:J22"/>
    <mergeCell ref="K22:L22"/>
    <mergeCell ref="C32:D32"/>
    <mergeCell ref="E32:F32"/>
    <mergeCell ref="K32:L32"/>
    <mergeCell ref="G24:H24"/>
    <mergeCell ref="I24:J24"/>
    <mergeCell ref="A23:B23"/>
    <mergeCell ref="C23:D23"/>
    <mergeCell ref="E23:F23"/>
    <mergeCell ref="G23:H23"/>
    <mergeCell ref="I23:J23"/>
    <mergeCell ref="K23:L23"/>
    <mergeCell ref="A24:B24"/>
    <mergeCell ref="K24:L24"/>
    <mergeCell ref="C24:D24"/>
    <mergeCell ref="E24:F24"/>
    <mergeCell ref="C25:D25"/>
    <mergeCell ref="E25:F25"/>
    <mergeCell ref="G25:H25"/>
    <mergeCell ref="A1:N1"/>
    <mergeCell ref="A2:B2"/>
    <mergeCell ref="C2:D2"/>
    <mergeCell ref="E2:F2"/>
    <mergeCell ref="G2:H2"/>
    <mergeCell ref="I2:J2"/>
    <mergeCell ref="K2:L2"/>
    <mergeCell ref="G4:H4"/>
    <mergeCell ref="I4:J4"/>
    <mergeCell ref="A3:B3"/>
    <mergeCell ref="C3:D3"/>
    <mergeCell ref="E3:F3"/>
    <mergeCell ref="G3:H3"/>
    <mergeCell ref="I3:J3"/>
    <mergeCell ref="K3:L3"/>
    <mergeCell ref="A4:B4"/>
    <mergeCell ref="K4:L4"/>
    <mergeCell ref="A6:B6"/>
    <mergeCell ref="A7:B7"/>
    <mergeCell ref="C7:D7"/>
    <mergeCell ref="E7:F7"/>
    <mergeCell ref="G7:H7"/>
    <mergeCell ref="I7:J7"/>
    <mergeCell ref="K7:L7"/>
    <mergeCell ref="C4:D4"/>
    <mergeCell ref="E4:F4"/>
    <mergeCell ref="A5:B5"/>
    <mergeCell ref="C5:D5"/>
    <mergeCell ref="E5:F5"/>
    <mergeCell ref="C6:D6"/>
    <mergeCell ref="E6:F6"/>
    <mergeCell ref="G5:H5"/>
    <mergeCell ref="I5:J5"/>
    <mergeCell ref="K5:L5"/>
    <mergeCell ref="G6:H6"/>
    <mergeCell ref="I6:J6"/>
    <mergeCell ref="K6:L6"/>
    <mergeCell ref="A8:B8"/>
    <mergeCell ref="C8:D8"/>
    <mergeCell ref="E8:F8"/>
    <mergeCell ref="G8:H8"/>
    <mergeCell ref="I8:J8"/>
    <mergeCell ref="K8:L8"/>
    <mergeCell ref="A9:B9"/>
    <mergeCell ref="K9:L9"/>
    <mergeCell ref="A11:B11"/>
    <mergeCell ref="A10:B10"/>
    <mergeCell ref="C10:D10"/>
    <mergeCell ref="E10:F10"/>
    <mergeCell ref="C11:D11"/>
    <mergeCell ref="E11:F11"/>
    <mergeCell ref="G9:H9"/>
    <mergeCell ref="I9:J9"/>
    <mergeCell ref="G10:H10"/>
    <mergeCell ref="I10:J10"/>
    <mergeCell ref="K10:L10"/>
    <mergeCell ref="G11:H11"/>
    <mergeCell ref="I11:J11"/>
    <mergeCell ref="K11:L11"/>
    <mergeCell ref="C9:D9"/>
    <mergeCell ref="E9:F9"/>
    <mergeCell ref="A12:B12"/>
    <mergeCell ref="C12:D12"/>
    <mergeCell ref="E12:F12"/>
    <mergeCell ref="G12:H12"/>
    <mergeCell ref="I12:J12"/>
    <mergeCell ref="K12:L12"/>
    <mergeCell ref="G19:H19"/>
    <mergeCell ref="I19:J19"/>
    <mergeCell ref="G20:H20"/>
    <mergeCell ref="I20:J20"/>
    <mergeCell ref="K20:L20"/>
    <mergeCell ref="C19:D19"/>
    <mergeCell ref="E19:F19"/>
    <mergeCell ref="A20:B20"/>
    <mergeCell ref="C20:D20"/>
    <mergeCell ref="E20:F20"/>
    <mergeCell ref="A18:B18"/>
    <mergeCell ref="C18:D18"/>
    <mergeCell ref="E18:F18"/>
    <mergeCell ref="G18:H18"/>
    <mergeCell ref="I18:J18"/>
    <mergeCell ref="K18:L18"/>
    <mergeCell ref="A19:B19"/>
    <mergeCell ref="K19:L19"/>
    <mergeCell ref="I25:J25"/>
    <mergeCell ref="K25:L25"/>
    <mergeCell ref="A25:B25"/>
    <mergeCell ref="A26:B26"/>
    <mergeCell ref="C26:D26"/>
    <mergeCell ref="E26:F26"/>
    <mergeCell ref="G26:H26"/>
    <mergeCell ref="I26:J26"/>
    <mergeCell ref="K26:L26"/>
    <mergeCell ref="A27:B27"/>
    <mergeCell ref="C27:D27"/>
    <mergeCell ref="E27:F27"/>
    <mergeCell ref="G27:H27"/>
    <mergeCell ref="I27:J27"/>
    <mergeCell ref="K27:L27"/>
    <mergeCell ref="A28:B28"/>
    <mergeCell ref="K28:L28"/>
    <mergeCell ref="G32:H32"/>
    <mergeCell ref="I32:J32"/>
    <mergeCell ref="A31:B31"/>
    <mergeCell ref="C31:D31"/>
    <mergeCell ref="E31:F31"/>
    <mergeCell ref="G31:H31"/>
    <mergeCell ref="I31:J31"/>
    <mergeCell ref="K31:L31"/>
    <mergeCell ref="A32:B32"/>
    <mergeCell ref="C28:D28"/>
    <mergeCell ref="E28:F28"/>
    <mergeCell ref="C29:D29"/>
    <mergeCell ref="E29:F29"/>
    <mergeCell ref="G29:H29"/>
    <mergeCell ref="I29:J29"/>
    <mergeCell ref="K29:L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Group Details</vt:lpstr>
      <vt:lpstr>Questions 1,2 &amp; 5</vt:lpstr>
      <vt:lpstr>Exhibit 7 (Question 3)</vt:lpstr>
      <vt:lpstr>Scenario Analysis (Question 4)</vt:lpstr>
      <vt:lpstr>Exhibit 4</vt:lpstr>
      <vt:lpstr>Exhibit 5</vt:lpstr>
      <vt:lpstr>Exhibit 6</vt:lpstr>
      <vt:lpstr>Exhibit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Ishaan Dhingra</dc:creator>
  <cp:lastModifiedBy>Kuntal Pyne</cp:lastModifiedBy>
  <dcterms:created xsi:type="dcterms:W3CDTF">2025-10-12T16:52:58Z</dcterms:created>
  <dcterms:modified xsi:type="dcterms:W3CDTF">2025-10-12T17:39:12Z</dcterms:modified>
</cp:coreProperties>
</file>