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T\KURSUS EXCEL\"/>
    </mc:Choice>
  </mc:AlternateContent>
  <xr:revisionPtr revIDLastSave="0" documentId="13_ncr:1_{4E2B4E32-CA8B-4750-93D6-1D1D04C0E7E9}" xr6:coauthVersionLast="47" xr6:coauthVersionMax="47" xr10:uidLastSave="{00000000-0000-0000-0000-000000000000}"/>
  <workbookProtection workbookAlgorithmName="SHA-512" workbookHashValue="gs4v4dG4xLYCshNpshyOiqrdiO6tQybNeu3yoSBalU7AGTX7rTGtEiuLwZhWbKos8MUPWq24Vozr3KmK2IzILA==" workbookSaltValue="/RDPJQd9lAfY/4bd94DSxA==" workbookSpinCount="100000" lockStructure="1"/>
  <bookViews>
    <workbookView xWindow="-110" yWindow="-110" windowWidth="19420" windowHeight="10300" activeTab="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18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19" hidden="1">'Test Macro'!$A$1:$I$38</definedName>
    <definedName name="Goal">'IF Function'!$I$2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8" l="1"/>
  <c r="D3" i="31"/>
  <c r="E18" i="20"/>
  <c r="E15" i="20"/>
  <c r="E16" i="20"/>
  <c r="E17" i="20"/>
  <c r="E5" i="20"/>
  <c r="E6" i="20"/>
  <c r="E7" i="20"/>
  <c r="E8" i="20"/>
  <c r="E9" i="20"/>
  <c r="E10" i="20"/>
  <c r="E11" i="20"/>
  <c r="E12" i="20"/>
  <c r="E13" i="20"/>
  <c r="E14" i="20"/>
  <c r="E4" i="20"/>
  <c r="C3" i="24"/>
  <c r="C4" i="24"/>
  <c r="C5" i="24"/>
  <c r="C6" i="24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E5" i="21"/>
  <c r="F5" i="21"/>
  <c r="G5" i="21"/>
  <c r="E6" i="21"/>
  <c r="F6" i="21"/>
  <c r="G6" i="21"/>
  <c r="E7" i="21"/>
  <c r="F7" i="21"/>
  <c r="G7" i="21"/>
  <c r="E8" i="21"/>
  <c r="F8" i="21"/>
  <c r="G8" i="21"/>
  <c r="E9" i="21"/>
  <c r="F9" i="21"/>
  <c r="G9" i="21"/>
  <c r="E10" i="21"/>
  <c r="F10" i="21"/>
  <c r="G10" i="21"/>
  <c r="E11" i="21"/>
  <c r="F11" i="21"/>
  <c r="G11" i="21"/>
  <c r="E12" i="21"/>
  <c r="F12" i="21"/>
  <c r="G12" i="21"/>
  <c r="E13" i="21"/>
  <c r="F13" i="21"/>
  <c r="G13" i="21"/>
  <c r="E14" i="21"/>
  <c r="F14" i="21"/>
  <c r="G14" i="21"/>
  <c r="E15" i="21"/>
  <c r="F15" i="21"/>
  <c r="G15" i="21"/>
  <c r="E16" i="21"/>
  <c r="F16" i="21"/>
  <c r="G16" i="21"/>
  <c r="E17" i="21"/>
  <c r="F17" i="21"/>
  <c r="G17" i="21"/>
  <c r="E18" i="21"/>
  <c r="F18" i="21"/>
  <c r="G18" i="21"/>
  <c r="E19" i="21"/>
  <c r="F19" i="21"/>
  <c r="G19" i="21"/>
  <c r="E20" i="21"/>
  <c r="F20" i="21"/>
  <c r="G20" i="21"/>
  <c r="E21" i="21"/>
  <c r="F21" i="21"/>
  <c r="G21" i="21"/>
  <c r="E22" i="21"/>
  <c r="F22" i="21"/>
  <c r="G22" i="21"/>
  <c r="E23" i="21"/>
  <c r="F23" i="21"/>
  <c r="G23" i="21"/>
  <c r="E24" i="21"/>
  <c r="F24" i="21"/>
  <c r="G24" i="21"/>
  <c r="E25" i="21"/>
  <c r="F25" i="21"/>
  <c r="G25" i="21"/>
  <c r="E26" i="21"/>
  <c r="F26" i="21"/>
  <c r="G26" i="21"/>
  <c r="G4" i="21"/>
  <c r="F4" i="21"/>
  <c r="E4" i="21"/>
  <c r="B6" i="22"/>
  <c r="B5" i="22"/>
  <c r="C3" i="1" l="1"/>
  <c r="B7" i="22"/>
  <c r="D3" i="1"/>
  <c r="D4" i="34"/>
  <c r="D5" i="34"/>
  <c r="D6" i="34"/>
  <c r="D7" i="34"/>
  <c r="D8" i="34"/>
  <c r="D9" i="34"/>
  <c r="D4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F7" i="34"/>
  <c r="F4" i="34"/>
  <c r="F5" i="34"/>
  <c r="F6" i="34"/>
  <c r="F8" i="34"/>
  <c r="F9" i="34"/>
  <c r="C4" i="34"/>
  <c r="C12" i="1"/>
  <c r="C4" i="1"/>
  <c r="C5" i="1"/>
  <c r="C6" i="1"/>
  <c r="C7" i="1"/>
  <c r="C8" i="1"/>
  <c r="C9" i="1"/>
  <c r="C10" i="1"/>
  <c r="C11" i="1"/>
  <c r="C13" i="1"/>
  <c r="C14" i="1"/>
  <c r="C15" i="1"/>
  <c r="C16" i="1"/>
  <c r="C17" i="1"/>
  <c r="C18" i="1"/>
  <c r="H3" i="17"/>
  <c r="H5" i="17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7" i="28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5" i="26" s="1"/>
  <c r="C10" i="25"/>
  <c r="D10" i="25"/>
  <c r="E10" i="25"/>
  <c r="B10" i="25"/>
  <c r="F9" i="25"/>
  <c r="H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H7" i="4" s="1"/>
  <c r="I7" i="4" s="1"/>
  <c r="E3" i="20"/>
  <c r="F5" i="4"/>
  <c r="H5" i="4" s="1"/>
  <c r="F6" i="4"/>
  <c r="H6" i="4" s="1"/>
  <c r="I6" i="4" s="1"/>
  <c r="F8" i="4"/>
  <c r="H8" i="4" s="1"/>
  <c r="I8" i="4" s="1"/>
  <c r="F9" i="4"/>
  <c r="H9" i="4" s="1"/>
  <c r="I9" i="4" s="1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I3" i="17" l="1"/>
  <c r="I5" i="17"/>
  <c r="I5" i="4"/>
  <c r="F12" i="4"/>
  <c r="I9" i="25"/>
  <c r="F14" i="25"/>
  <c r="F7" i="29"/>
  <c r="F10" i="25"/>
  <c r="B2" i="27" s="1"/>
  <c r="G3" i="29"/>
  <c r="E7" i="29"/>
  <c r="G4" i="29"/>
  <c r="F10" i="26"/>
  <c r="F12" i="26" s="1"/>
  <c r="I5" i="25"/>
  <c r="F12" i="25" l="1"/>
  <c r="G7" i="29"/>
  <c r="F14" i="26"/>
  <c r="I5" i="26"/>
</calcChain>
</file>

<file path=xl/sharedStrings.xml><?xml version="1.0" encoding="utf-8"?>
<sst xmlns="http://schemas.openxmlformats.org/spreadsheetml/2006/main" count="1545" uniqueCount="292">
  <si>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</si>
  <si>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</si>
  <si>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</si>
  <si>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</si>
  <si>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</si>
  <si>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</si>
  <si>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</si>
  <si>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</si>
  <si>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</si>
  <si>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</si>
  <si>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</si>
  <si>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</si>
  <si>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</si>
  <si>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</si>
  <si>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</si>
  <si>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</si>
  <si>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</si>
  <si>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</si>
  <si>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</si>
  <si>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</si>
  <si>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</si>
  <si>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</si>
  <si>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</si>
  <si>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</si>
  <si>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</si>
  <si>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</si>
  <si>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</si>
  <si>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</si>
  <si>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</si>
  <si>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</si>
  <si>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</si>
  <si>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</si>
  <si>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</si>
  <si>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</si>
  <si>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</si>
  <si>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</si>
  <si>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</si>
  <si>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</si>
  <si>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</si>
  <si>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</si>
  <si>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</si>
  <si>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</si>
  <si>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</si>
  <si>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</si>
  <si>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</si>
  <si>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</si>
  <si>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</si>
  <si>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</si>
  <si>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</si>
  <si>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</si>
  <si>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</si>
  <si>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</si>
  <si>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</si>
  <si>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</si>
  <si>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</si>
  <si>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</si>
  <si>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</si>
  <si>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</si>
  <si>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</si>
  <si>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</si>
  <si>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</si>
  <si>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</si>
  <si>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</si>
  <si>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</si>
  <si>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</si>
  <si>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</si>
  <si>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</si>
  <si>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</si>
  <si>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</si>
  <si>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</si>
  <si>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</si>
  <si>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</si>
  <si>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</si>
  <si>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</si>
  <si>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</si>
  <si>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</si>
  <si>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</si>
  <si>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</si>
  <si>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</si>
  <si>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</si>
  <si>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</si>
  <si>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</si>
  <si>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</si>
  <si>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</si>
  <si>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</si>
  <si>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</si>
  <si>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</si>
  <si>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</si>
  <si>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</si>
  <si>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</si>
  <si>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</si>
  <si>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</si>
  <si>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</si>
  <si>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</si>
  <si>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</si>
  <si>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</si>
  <si>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</si>
  <si>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</si>
  <si>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</si>
  <si>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</si>
  <si>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</si>
  <si>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</si>
  <si>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</si>
  <si>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</si>
  <si>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</si>
  <si>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</si>
  <si>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</si>
  <si>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</si>
  <si>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</si>
  <si>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</si>
  <si>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</si>
  <si>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</si>
  <si>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</si>
  <si>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</si>
  <si>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</si>
  <si>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</si>
  <si>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</si>
  <si>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</si>
  <si>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</si>
  <si>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</si>
  <si>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</si>
  <si>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</si>
  <si>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</si>
  <si>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</si>
  <si>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</si>
  <si>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</si>
  <si>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</si>
  <si>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</si>
  <si>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</si>
  <si>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</si>
  <si>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</si>
  <si>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</si>
  <si>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</si>
  <si>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</si>
  <si>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</si>
  <si>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</si>
  <si>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</si>
  <si>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</si>
  <si>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</si>
  <si>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</si>
  <si>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</si>
  <si>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</si>
  <si>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</si>
  <si>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</si>
  <si>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</si>
  <si>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</si>
  <si>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</si>
  <si>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</si>
  <si>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</si>
  <si>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</si>
  <si>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</si>
  <si>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</si>
  <si>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</si>
  <si>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</si>
  <si>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</si>
  <si>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</si>
  <si>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</si>
  <si>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</si>
  <si>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</si>
  <si>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</si>
  <si>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</si>
  <si>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</si>
  <si>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</si>
  <si>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</si>
  <si>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</si>
  <si>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</si>
  <si>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</si>
  <si>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</si>
  <si>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</si>
  <si>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</si>
  <si>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</si>
  <si>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</si>
  <si>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</si>
  <si>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</si>
  <si>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</si>
  <si>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</si>
  <si>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</si>
  <si>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</si>
  <si>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</si>
  <si>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</si>
  <si>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</si>
  <si>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</si>
  <si>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</si>
  <si>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</si>
  <si>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</si>
  <si>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</si>
  <si>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</si>
  <si>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</si>
  <si>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</si>
  <si>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</si>
  <si>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</si>
  <si>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</si>
  <si>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</si>
  <si>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</si>
  <si>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</si>
  <si>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</si>
  <si>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</si>
  <si>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</si>
  <si>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</si>
  <si>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</si>
  <si>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</si>
  <si>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</si>
  <si>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</si>
  <si>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</si>
  <si>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</si>
  <si>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</si>
  <si>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</si>
  <si>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</si>
  <si>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</si>
  <si>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</si>
  <si>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</si>
  <si>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</si>
  <si>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</si>
  <si>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</si>
  <si>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</si>
  <si>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</si>
  <si>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</si>
  <si>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</si>
  <si>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</si>
  <si>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</si>
  <si>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</si>
  <si>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</si>
  <si>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</si>
  <si>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</si>
  <si>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</si>
  <si>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</si>
  <si>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</si>
  <si>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</si>
  <si>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</si>
  <si>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</si>
  <si>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</si>
  <si>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</si>
  <si>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</si>
  <si>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</si>
  <si>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</si>
  <si>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</si>
  <si>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</si>
  <si>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</si>
  <si>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</si>
  <si>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</si>
  <si>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</si>
  <si>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</si>
  <si>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</si>
  <si>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</si>
  <si>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</si>
  <si>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</si>
  <si>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</si>
  <si>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</si>
  <si>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</si>
  <si>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</si>
  <si>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</si>
  <si>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</si>
  <si>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</si>
  <si>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</si>
  <si>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</si>
  <si>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</si>
  <si>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</si>
  <si>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</si>
  <si>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</si>
  <si>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</si>
  <si>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</si>
  <si>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</si>
  <si>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</si>
  <si>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</si>
  <si>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</si>
  <si>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</si>
  <si>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</si>
  <si>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</si>
  <si>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</si>
  <si>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</si>
  <si>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</si>
  <si>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</si>
  <si>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</si>
  <si>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</si>
  <si>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</si>
  <si>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</si>
  <si>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</si>
  <si>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</si>
  <si>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</si>
  <si>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</si>
  <si>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</si>
  <si>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</si>
  <si>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</si>
  <si>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</si>
  <si>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LAST NAME</t>
  </si>
  <si>
    <t>FIRST NAME</t>
  </si>
  <si>
    <t>DEPT</t>
  </si>
  <si>
    <t>EMAIL</t>
  </si>
  <si>
    <t>LOCATION</t>
  </si>
  <si>
    <t>PAY RATE</t>
  </si>
  <si>
    <t>EXT</t>
  </si>
  <si>
    <t>HIRE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</si>
</sst>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.00;\(&quot;$&quot;#,##0.00\)"/>
    <numFmt numFmtId="171" formatCode="[$-409]d\-mmm\-yy;@"/>
  </numFmts>
  <fonts count="2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5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0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0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" fillId="0" borderId="0" xfId="0" applyFont="1"/>
    <xf numFmtId="164" fontId="1" fillId="9" borderId="27" xfId="9" applyNumberFormat="1" applyFill="1" applyBorder="1" applyAlignment="1">
      <alignment horizontal="center"/>
    </xf>
    <xf numFmtId="0" fontId="14" fillId="6" borderId="0" xfId="0" applyFont="1" applyFill="1"/>
    <xf numFmtId="14" fontId="14" fillId="6" borderId="0" xfId="0" applyNumberFormat="1" applyFont="1" applyFill="1"/>
    <xf numFmtId="167" fontId="14" fillId="6" borderId="0" xfId="8" applyFont="1" applyFill="1"/>
    <xf numFmtId="171" fontId="6" fillId="0" borderId="1" xfId="5" applyNumberFormat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279400</xdr:colOff>
          <xdr:row>2</xdr:row>
          <xdr:rowOff>0</xdr:rowOff>
        </xdr:from>
        <xdr:to>
          <xdr:col>11</xdr:col>
          <xdr:colOff>476250</xdr:colOff>
          <xdr:row>4</xdr:row>
          <xdr:rowOff>38100</xdr:rowOff>
        </xdr:to>
        <xdr:sp macro="" textlink="">
          <xdr:nvSpPr>
            <xdr:cNvPr id="20481" name="Butto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3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D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TABEL</a:t>
              </a:r>
            </a:p>
            <a:p>
              <a:pPr algn="ctr" rtl="0">
                <a:defRPr sz="1000"/>
              </a:pPr>
              <a:endParaRPr lang="en-ID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95" zoomScaleNormal="95" workbookViewId="0">
      <selection activeCell="F12" sqref="F12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1" t="s">
        <v>280</v>
      </c>
      <c r="B2" s="131"/>
      <c r="C2" s="131"/>
      <c r="D2" s="131"/>
      <c r="E2" s="131"/>
      <c r="F2" s="131"/>
      <c r="H2" s="27" t="s">
        <v>0</v>
      </c>
      <c r="I2" s="44">
        <v>34000</v>
      </c>
    </row>
    <row r="3" spans="1:9" ht="13.5" thickTop="1" thickBot="1"/>
    <row r="4" spans="1:9" ht="14">
      <c r="A4" s="40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42" t="s">
        <v>6</v>
      </c>
      <c r="H4" s="43" t="s">
        <v>7</v>
      </c>
      <c r="I4" s="51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 MIN(B5:E5)&gt;=8000),"BONUS","NO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 MIN(B6:E6)&gt;=8000),"BONUS","NO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6" thickBot="1">
      <c r="A9" s="16" t="s">
        <v>14</v>
      </c>
      <c r="B9" s="49">
        <v>7892</v>
      </c>
      <c r="C9" s="49">
        <v>7695</v>
      </c>
      <c r="D9" s="49">
        <v>9520</v>
      </c>
      <c r="E9" s="49">
        <v>10252</v>
      </c>
      <c r="F9" s="50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4">
      <c r="A10" s="47" t="s">
        <v>223</v>
      </c>
      <c r="B10" s="52">
        <f>SUM(week_1)</f>
        <v>40402</v>
      </c>
      <c r="C10" s="53"/>
      <c r="D10" s="53"/>
      <c r="E10" s="52"/>
      <c r="F10" s="52"/>
    </row>
    <row r="11" spans="1:9" ht="14">
      <c r="A11" s="48"/>
    </row>
    <row r="12" spans="1:9" ht="16.5" customHeight="1">
      <c r="A12" s="128" t="s">
        <v>13</v>
      </c>
      <c r="B12" s="129"/>
      <c r="C12" s="129"/>
      <c r="D12" s="129"/>
      <c r="E12" s="130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4" sqref="H4"/>
    </sheetView>
  </sheetViews>
  <sheetFormatPr defaultColWidth="9.1796875" defaultRowHeight="12.5"/>
  <cols>
    <col min="1" max="1" width="13.26953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1796875" style="18" bestFit="1" customWidth="1"/>
    <col min="6" max="6" width="9.1796875" style="18"/>
    <col min="7" max="7" width="13.7265625" style="18" customWidth="1"/>
    <col min="8" max="9" width="12.7265625" style="18" bestFit="1" customWidth="1"/>
    <col min="10" max="16384" width="9.1796875" style="18"/>
  </cols>
  <sheetData>
    <row r="2" spans="1:9" ht="15.5">
      <c r="A2" s="28" t="s">
        <v>143</v>
      </c>
      <c r="B2" s="28" t="s">
        <v>141</v>
      </c>
      <c r="C2" s="28" t="s">
        <v>144</v>
      </c>
      <c r="D2" s="28" t="s">
        <v>147</v>
      </c>
      <c r="E2" s="28" t="s">
        <v>148</v>
      </c>
      <c r="G2" s="29" t="s">
        <v>141</v>
      </c>
      <c r="H2" s="30" t="s">
        <v>221</v>
      </c>
      <c r="I2" s="30" t="s">
        <v>142</v>
      </c>
    </row>
    <row r="3" spans="1:9" ht="15.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6">
        <f>SUMIF(B3:B272,G3,D3:D272)</f>
        <v>491064</v>
      </c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29" t="s">
        <v>165</v>
      </c>
      <c r="H4" s="30" t="s">
        <v>221</v>
      </c>
      <c r="I4" s="30" t="s">
        <v>142</v>
      </c>
    </row>
    <row r="5" spans="1:9" ht="15.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6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E6" sqref="E6"/>
    </sheetView>
  </sheetViews>
  <sheetFormatPr defaultRowHeight="12.5"/>
  <cols>
    <col min="1" max="1" width="3.453125" customWidth="1"/>
    <col min="2" max="3" width="13.81640625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2" t="s">
        <v>16</v>
      </c>
      <c r="C2" s="33" t="s">
        <v>18</v>
      </c>
      <c r="D2" s="33" t="s">
        <v>17</v>
      </c>
      <c r="E2" s="33" t="s">
        <v>19</v>
      </c>
      <c r="F2" s="33" t="s">
        <v>140</v>
      </c>
      <c r="G2" s="121"/>
    </row>
    <row r="3" spans="2:7">
      <c r="B3" s="10">
        <v>1054</v>
      </c>
      <c r="C3" s="11" t="str">
        <f>IFERROR(VLOOKUP($B3,'Master Emp List'!$A$1:$I$38,3,FALSE), "IMP ID NOT FOUND")</f>
        <v>Howard</v>
      </c>
      <c r="D3" s="11" t="str">
        <f>INDEX('Master Emp List'!$A$1:$I$38, MATCH('VLOOKUP Function'!$B3,'Master Emp List'!$A$1:$A$38,0),MATCH('VLOOKUP Function'!D$2,'Master Emp List'!$A$1:$I$1,0))</f>
        <v>Smith</v>
      </c>
      <c r="E3" s="11" t="str">
        <f>INDEX('Master Emp List'!$A$1:$I$38, MATCH('VLOOKUP Function'!$B3,'Master Emp List'!$A$1:$A$38,0),MATCH('VLOOKUP Function'!E$2,'Master Emp List'!$A$1:$I$1,0))</f>
        <v>AT</v>
      </c>
      <c r="F3" s="11">
        <f>INDEX('Master Emp List'!$A$1:$I$38, MATCH('VLOOKUP Function'!$B3,'Master Emp List'!$A$1:$A$38,0),MATCH('VLOOKUP Function'!F$2,'Master Emp List'!$A$1:$I$1,0))</f>
        <v>11.25</v>
      </c>
      <c r="G3" s="66"/>
    </row>
    <row r="4" spans="2:7">
      <c r="B4" s="10">
        <v>1056</v>
      </c>
      <c r="C4" s="11" t="str">
        <f>IFERROR(VLOOKUP($B4,'Master Emp List'!$A$1:$I$38,3,FALSE), "IMP ID NOT FOUND")</f>
        <v>Joe</v>
      </c>
      <c r="D4" s="11" t="str">
        <f>INDEX('Master Emp List'!$A$1:$I$38, MATCH('VLOOKUP Function'!$B4,'Master Emp List'!$A$1:$A$38,0),MATCH('VLOOKUP Function'!D$2,'Master Emp List'!$A$1:$I$1,0))</f>
        <v>Gonzales</v>
      </c>
      <c r="E4" s="11" t="str">
        <f>INDEX('Master Emp List'!$A$1:$I$38, MATCH('VLOOKUP Function'!$B4,'Master Emp List'!$A$1:$A$38,0),MATCH('VLOOKUP Function'!E$2,'Master Emp List'!$A$1:$I$1,0))</f>
        <v>AT</v>
      </c>
      <c r="F4" s="11">
        <f>INDEX('Master Emp List'!$A$1:$I$38, MATCH('VLOOKUP Function'!$B4,'Master Emp List'!$A$1:$A$38,0),MATCH('VLOOKUP Function'!F$2,'Master Emp List'!$A$1:$I$1,0))</f>
        <v>12.25</v>
      </c>
      <c r="G4" s="66"/>
    </row>
    <row r="5" spans="2:7">
      <c r="B5" s="10">
        <v>1067</v>
      </c>
      <c r="C5" s="11" t="str">
        <f>IFERROR(VLOOKUP($B5,'Master Emp List'!$A$1:$I$38,3,FALSE), "IMP ID NOT FOUND")</f>
        <v>Gail</v>
      </c>
      <c r="D5" s="11" t="str">
        <f>INDEX('Master Emp List'!$A$1:$I$38, MATCH('VLOOKUP Function'!$B5,'Master Emp List'!$A$1:$A$38,0),MATCH('VLOOKUP Function'!D$2,'Master Emp List'!$A$1:$I$1,0))</f>
        <v>Scote</v>
      </c>
      <c r="E5" s="11" t="str">
        <f>INDEX('Master Emp List'!$A$1:$I$38, MATCH('VLOOKUP Function'!$B5,'Master Emp List'!$A$1:$A$38,0),MATCH('VLOOKUP Function'!E$2,'Master Emp List'!$A$1:$I$1,0))</f>
        <v>AT</v>
      </c>
      <c r="F5" s="11">
        <f>INDEX('Master Emp List'!$A$1:$I$38, MATCH('VLOOKUP Function'!$B5,'Master Emp List'!$A$1:$A$38,0),MATCH('VLOOKUP Function'!F$2,'Master Emp List'!$A$1:$I$1,0))</f>
        <v>14.55</v>
      </c>
      <c r="G5" s="66"/>
    </row>
    <row r="6" spans="2:7">
      <c r="B6" s="10">
        <v>1075</v>
      </c>
      <c r="C6" s="11" t="str">
        <f>IFERROR(VLOOKUP($B6,'Master Emp List'!$A$1:$I$38,3,FALSE), "IMP ID NOT FOUND")</f>
        <v>Sheryl</v>
      </c>
      <c r="D6" s="11" t="str">
        <f>INDEX('Master Emp List'!$A$1:$I$38, MATCH('VLOOKUP Function'!$B6,'Master Emp List'!$A$1:$A$38,0),MATCH('VLOOKUP Function'!D$2,'Master Emp List'!$A$1:$I$1,0))</f>
        <v>Kane</v>
      </c>
      <c r="E6" s="11" t="str">
        <f>INDEX('Master Emp List'!$A$1:$I$38, MATCH('VLOOKUP Function'!$B6,'Master Emp List'!$A$1:$A$38,0),MATCH('VLOOKUP Function'!E$2,'Master Emp List'!$A$1:$I$1,0))</f>
        <v>AD</v>
      </c>
      <c r="F6" s="11">
        <f>INDEX('Master Emp List'!$A$1:$I$38, MATCH('VLOOKUP Function'!$B6,'Master Emp List'!$A$1:$A$38,0),MATCH('VLOOKUP Function'!F$2,'Master Emp List'!$A$1:$I$1,0))</f>
        <v>11.25</v>
      </c>
      <c r="G6" s="66"/>
    </row>
    <row r="7" spans="2:7">
      <c r="B7" s="10">
        <v>1078</v>
      </c>
      <c r="C7" s="11" t="str">
        <f>IFERROR(VLOOKUP($B7,'Master Emp List'!$A$1:$I$38,3,FALSE), "IMP ID NOT FOUND")</f>
        <v>Kendrick</v>
      </c>
      <c r="D7" s="11" t="str">
        <f>INDEX('Master Emp List'!$A$1:$I$38, MATCH('VLOOKUP Function'!$B7,'Master Emp List'!$A$1:$A$38,0),MATCH('VLOOKUP Function'!D$2,'Master Emp List'!$A$1:$I$1,0))</f>
        <v>Hapsbuch</v>
      </c>
      <c r="E7" s="11" t="str">
        <f>INDEX('Master Emp List'!$A$1:$I$38, MATCH('VLOOKUP Function'!$B7,'Master Emp List'!$A$1:$A$38,0),MATCH('VLOOKUP Function'!E$2,'Master Emp List'!$A$1:$I$1,0))</f>
        <v>AC</v>
      </c>
      <c r="F7" s="11">
        <f>INDEX('Master Emp List'!$A$1:$I$38, MATCH('VLOOKUP Function'!$B7,'Master Emp List'!$A$1:$A$38,0),MATCH('VLOOKUP Function'!F$2,'Master Emp List'!$A$1:$I$1,0))</f>
        <v>10.199999999999999</v>
      </c>
      <c r="G7" s="66"/>
    </row>
    <row r="8" spans="2:7">
      <c r="B8" s="10">
        <v>1152</v>
      </c>
      <c r="C8" s="11" t="str">
        <f>IFERROR(VLOOKUP($B8,'Master Emp List'!$A$1:$I$38,3,FALSE), "IMP ID NOT FOUND")</f>
        <v>Mark</v>
      </c>
      <c r="D8" s="11" t="str">
        <f>INDEX('Master Emp List'!$A$1:$I$38, MATCH('VLOOKUP Function'!$B8,'Master Emp List'!$A$1:$A$38,0),MATCH('VLOOKUP Function'!D$2,'Master Emp List'!$A$1:$I$1,0))</f>
        <v>Henders</v>
      </c>
      <c r="E8" s="11" t="str">
        <f>INDEX('Master Emp List'!$A$1:$I$38, MATCH('VLOOKUP Function'!$B8,'Master Emp List'!$A$1:$A$38,0),MATCH('VLOOKUP Function'!E$2,'Master Emp List'!$A$1:$I$1,0))</f>
        <v>AD</v>
      </c>
      <c r="F8" s="11">
        <f>INDEX('Master Emp List'!$A$1:$I$38, MATCH('VLOOKUP Function'!$B8,'Master Emp List'!$A$1:$A$38,0),MATCH('VLOOKUP Function'!F$2,'Master Emp List'!$A$1:$I$1,0))</f>
        <v>12.25</v>
      </c>
      <c r="G8" s="66"/>
    </row>
    <row r="9" spans="2:7">
      <c r="B9" s="10">
        <v>1196</v>
      </c>
      <c r="C9" s="11" t="str">
        <f>IFERROR(VLOOKUP($B9,'Master Emp List'!$A$1:$I$38,3,FALSE), "IMP ID NOT FOUND")</f>
        <v>Katie</v>
      </c>
      <c r="D9" s="11" t="str">
        <f>INDEX('Master Emp List'!$A$1:$I$38, MATCH('VLOOKUP Function'!$B9,'Master Emp List'!$A$1:$A$38,0),MATCH('VLOOKUP Function'!D$2,'Master Emp List'!$A$1:$I$1,0))</f>
        <v>Atherton</v>
      </c>
      <c r="E9" s="11" t="str">
        <f>INDEX('Master Emp List'!$A$1:$I$38, MATCH('VLOOKUP Function'!$B9,'Master Emp List'!$A$1:$A$38,0),MATCH('VLOOKUP Function'!E$2,'Master Emp List'!$A$1:$I$1,0))</f>
        <v>HR</v>
      </c>
      <c r="F9" s="11">
        <f>INDEX('Master Emp List'!$A$1:$I$38, MATCH('VLOOKUP Function'!$B9,'Master Emp List'!$A$1:$A$38,0),MATCH('VLOOKUP Function'!F$2,'Master Emp List'!$A$1:$I$1,0))</f>
        <v>9.9499999999999993</v>
      </c>
      <c r="G9" s="66"/>
    </row>
    <row r="10" spans="2:7">
      <c r="B10" s="10">
        <v>1284</v>
      </c>
      <c r="C10" s="11" t="str">
        <f>IFERROR(VLOOKUP($B10,'Master Emp List'!$A$1:$I$38,3,FALSE), "IMP ID NOT FOUND")</f>
        <v>Frank</v>
      </c>
      <c r="D10" s="11" t="str">
        <f>INDEX('Master Emp List'!$A$1:$I$38, MATCH('VLOOKUP Function'!$B10,'Master Emp List'!$A$1:$A$38,0),MATCH('VLOOKUP Function'!D$2,'Master Emp List'!$A$1:$I$1,0))</f>
        <v>Bellwood</v>
      </c>
      <c r="E10" s="11" t="str">
        <f>INDEX('Master Emp List'!$A$1:$I$38, MATCH('VLOOKUP Function'!$B10,'Master Emp List'!$A$1:$A$38,0),MATCH('VLOOKUP Function'!E$2,'Master Emp List'!$A$1:$I$1,0))</f>
        <v>MK</v>
      </c>
      <c r="F10" s="11">
        <f>INDEX('Master Emp List'!$A$1:$I$38, MATCH('VLOOKUP Function'!$B10,'Master Emp List'!$A$1:$A$38,0),MATCH('VLOOKUP Function'!F$2,'Master Emp List'!$A$1:$I$1,0))</f>
        <v>12.3</v>
      </c>
      <c r="G10" s="66"/>
    </row>
    <row r="11" spans="2:7">
      <c r="B11" s="10"/>
      <c r="C11" s="11" t="str">
        <f>IFERROR(VLOOKUP($B11,'Master Emp List'!$A$1:$I$38,3,FALSE), "IMP ID NOT FOUND")</f>
        <v>IMP ID NOT FOUND</v>
      </c>
      <c r="D11" s="11" t="e">
        <f>INDEX('Master Emp List'!$A$1:$I$38, MATCH('VLOOKUP Function'!$B11,'Master Emp List'!$A$1:$A$38,0),MATCH('VLOOKUP Function'!D$2,'Master Emp List'!$A$1:$I$1,0))</f>
        <v>#N/A</v>
      </c>
      <c r="E11" s="11" t="e">
        <f>INDEX('Master Emp List'!$A$1:$I$38, MATCH('VLOOKUP Function'!$B11,'Master Emp List'!$A$1:$A$38,0),MATCH('VLOOKUP Function'!E$2,'Master Emp List'!$A$1:$I$1,0))</f>
        <v>#N/A</v>
      </c>
      <c r="F11" s="11" t="e">
        <f>INDEX('Master Emp List'!$A$1:$I$38, MATCH('VLOOKUP Function'!$B11,'Master Emp List'!$A$1:$A$38,0),MATCH('VLOOKUP Function'!F$2,'Master Emp List'!$A$1:$I$1,0))</f>
        <v>#N/A</v>
      </c>
      <c r="G11" s="66"/>
    </row>
    <row r="12" spans="2:7">
      <c r="B12" s="10"/>
      <c r="C12" s="11" t="str">
        <f>IFERROR(VLOOKUP($B12,'Master Emp List'!$A$1:$I$38,3,FALSE), "IMP ID NOT FOUND")</f>
        <v>IMP ID NOT FOUND</v>
      </c>
      <c r="D12" s="11" t="e">
        <f>INDEX('Master Emp List'!$A$1:$I$38, MATCH('VLOOKUP Function'!$B12,'Master Emp List'!$A$1:$A$38,0),MATCH('VLOOKUP Function'!D$2,'Master Emp List'!$A$1:$I$1,0))</f>
        <v>#N/A</v>
      </c>
      <c r="E12" s="11" t="e">
        <f>INDEX('Master Emp List'!$A$1:$I$38, MATCH('VLOOKUP Function'!$B12,'Master Emp List'!$A$1:$A$38,0),MATCH('VLOOKUP Function'!E$2,'Master Emp List'!$A$1:$I$1,0))</f>
        <v>#N/A</v>
      </c>
      <c r="F12" s="11" t="e">
        <f>INDEX('Master Emp List'!$A$1:$I$38, MATCH('VLOOKUP Function'!$B12,'Master Emp List'!$A$1:$A$38,0),MATCH('VLOOKUP Function'!F$2,'Master Emp List'!$A$1:$I$1,0))</f>
        <v>#N/A</v>
      </c>
      <c r="G12" s="66"/>
    </row>
    <row r="13" spans="2:7">
      <c r="B13" s="10"/>
      <c r="C13" s="11" t="str">
        <f>IFERROR(VLOOKUP($B13,'Master Emp List'!$A$1:$I$38,3,FALSE), "IMP ID NOT FOUND")</f>
        <v>IMP ID NOT FOUND</v>
      </c>
      <c r="D13" s="11" t="e">
        <f>INDEX('Master Emp List'!$A$1:$I$38, MATCH('VLOOKUP Function'!$B13,'Master Emp List'!$A$1:$A$38,0),MATCH('VLOOKUP Function'!D$2,'Master Emp List'!$A$1:$I$1,0))</f>
        <v>#N/A</v>
      </c>
      <c r="E13" s="11" t="e">
        <f>INDEX('Master Emp List'!$A$1:$I$38, MATCH('VLOOKUP Function'!$B13,'Master Emp List'!$A$1:$A$38,0),MATCH('VLOOKUP Function'!E$2,'Master Emp List'!$A$1:$I$1,0))</f>
        <v>#N/A</v>
      </c>
      <c r="F13" s="11" t="e">
        <f>INDEX('Master Emp List'!$A$1:$I$38, MATCH('VLOOKUP Function'!$B13,'Master Emp List'!$A$1:$A$38,0),MATCH('VLOOKUP Function'!F$2,'Master Emp List'!$A$1:$I$1,0))</f>
        <v>#N/A</v>
      </c>
      <c r="G13" s="66"/>
    </row>
    <row r="14" spans="2:7">
      <c r="B14" s="10">
        <v>1302</v>
      </c>
      <c r="C14" s="11" t="str">
        <f>IFERROR(VLOOKUP($B14,'Master Emp List'!$A$1:$I$38,3,FALSE), "IMP ID NOT FOUND")</f>
        <v>Randy</v>
      </c>
      <c r="D14" s="11" t="str">
        <f>INDEX('Master Emp List'!$A$1:$I$38, MATCH('VLOOKUP Function'!$B14,'Master Emp List'!$A$1:$A$38,0),MATCH('VLOOKUP Function'!D$2,'Master Emp List'!$A$1:$I$1,0))</f>
        <v>Sindole</v>
      </c>
      <c r="E14" s="11" t="str">
        <f>INDEX('Master Emp List'!$A$1:$I$38, MATCH('VLOOKUP Function'!$B14,'Master Emp List'!$A$1:$A$38,0),MATCH('VLOOKUP Function'!E$2,'Master Emp List'!$A$1:$I$1,0))</f>
        <v>MK</v>
      </c>
      <c r="F14" s="11">
        <f>INDEX('Master Emp List'!$A$1:$I$38, MATCH('VLOOKUP Function'!$B14,'Master Emp List'!$A$1:$A$38,0),MATCH('VLOOKUP Function'!F$2,'Master Emp List'!$A$1:$I$1,0))</f>
        <v>14.25</v>
      </c>
      <c r="G14" s="66"/>
    </row>
    <row r="15" spans="2:7">
      <c r="B15" s="10">
        <v>1310</v>
      </c>
      <c r="C15" s="11" t="str">
        <f>IFERROR(VLOOKUP($B15,'Master Emp List'!$A$1:$I$38,3,FALSE), "IMP ID NOT FOUND")</f>
        <v>Ellen</v>
      </c>
      <c r="D15" s="11" t="str">
        <f>INDEX('Master Emp List'!$A$1:$I$38, MATCH('VLOOKUP Function'!$B15,'Master Emp List'!$A$1:$A$38,0),MATCH('VLOOKUP Function'!D$2,'Master Emp List'!$A$1:$I$1,0))</f>
        <v>Smith</v>
      </c>
      <c r="E15" s="11" t="str">
        <f>INDEX('Master Emp List'!$A$1:$I$38, MATCH('VLOOKUP Function'!$B15,'Master Emp List'!$A$1:$A$38,0),MATCH('VLOOKUP Function'!E$2,'Master Emp List'!$A$1:$I$1,0))</f>
        <v>MF</v>
      </c>
      <c r="F15" s="11">
        <f>INDEX('Master Emp List'!$A$1:$I$38, MATCH('VLOOKUP Function'!$B15,'Master Emp List'!$A$1:$A$38,0),MATCH('VLOOKUP Function'!F$2,'Master Emp List'!$A$1:$I$1,0))</f>
        <v>11.5</v>
      </c>
      <c r="G15" s="66"/>
    </row>
    <row r="16" spans="2:7">
      <c r="B16" s="10">
        <v>1329</v>
      </c>
      <c r="C16" s="11" t="str">
        <f>IFERROR(VLOOKUP($B16,'Master Emp List'!$A$1:$I$38,3,FALSE), "IMP ID NOT FOUND")</f>
        <v>Tuome</v>
      </c>
      <c r="D16" s="11" t="str">
        <f>INDEX('Master Emp List'!$A$1:$I$38, MATCH('VLOOKUP Function'!$B16,'Master Emp List'!$A$1:$A$38,0),MATCH('VLOOKUP Function'!D$2,'Master Emp List'!$A$1:$I$1,0))</f>
        <v>Vuanuo</v>
      </c>
      <c r="E16" s="11" t="str">
        <f>INDEX('Master Emp List'!$A$1:$I$38, MATCH('VLOOKUP Function'!$B16,'Master Emp List'!$A$1:$A$38,0),MATCH('VLOOKUP Function'!E$2,'Master Emp List'!$A$1:$I$1,0))</f>
        <v>AC</v>
      </c>
      <c r="F16" s="11">
        <f>INDEX('Master Emp List'!$A$1:$I$38, MATCH('VLOOKUP Function'!$B16,'Master Emp List'!$A$1:$A$38,0),MATCH('VLOOKUP Function'!F$2,'Master Emp List'!$A$1:$I$1,0))</f>
        <v>10.35</v>
      </c>
      <c r="G16" s="66"/>
    </row>
    <row r="17" spans="2:7">
      <c r="B17" s="10">
        <v>1333</v>
      </c>
      <c r="C17" s="11" t="str">
        <f>IFERROR(VLOOKUP($B17,'Master Emp List'!$A$1:$I$38,3,FALSE), "IMP ID NOT FOUND")</f>
        <v>Tadeuz</v>
      </c>
      <c r="D17" s="11" t="str">
        <f>INDEX('Master Emp List'!$A$1:$I$38, MATCH('VLOOKUP Function'!$B17,'Master Emp List'!$A$1:$A$38,0),MATCH('VLOOKUP Function'!D$2,'Master Emp List'!$A$1:$I$1,0))</f>
        <v>Szcznyck</v>
      </c>
      <c r="E17" s="11" t="str">
        <f>INDEX('Master Emp List'!$A$1:$I$38, MATCH('VLOOKUP Function'!$B17,'Master Emp List'!$A$1:$A$38,0),MATCH('VLOOKUP Function'!E$2,'Master Emp List'!$A$1:$I$1,0))</f>
        <v>HR</v>
      </c>
      <c r="F17" s="11">
        <f>INDEX('Master Emp List'!$A$1:$I$38, MATCH('VLOOKUP Function'!$B17,'Master Emp List'!$A$1:$A$38,0),MATCH('VLOOKUP Function'!F$2,'Master Emp List'!$A$1:$I$1,0))</f>
        <v>10.15</v>
      </c>
      <c r="G17" s="66"/>
    </row>
    <row r="18" spans="2:7" ht="13" thickBot="1">
      <c r="B18" s="13">
        <v>1368</v>
      </c>
      <c r="C18" s="11" t="str">
        <f>IFERROR(VLOOKUP($B18,'Master Emp List'!$A$1:$I$38,3,FALSE), "IMP ID NOT FOUND")</f>
        <v>Tammy</v>
      </c>
      <c r="D18" s="11" t="str">
        <f>INDEX('Master Emp List'!$A$1:$I$38, MATCH('VLOOKUP Function'!$B18,'Master Emp List'!$A$1:$A$38,0),MATCH('VLOOKUP Function'!D$2,'Master Emp List'!$A$1:$I$1,0))</f>
        <v>Wu</v>
      </c>
      <c r="E18" s="11" t="str">
        <f>INDEX('Master Emp List'!$A$1:$I$38, MATCH('VLOOKUP Function'!$B18,'Master Emp List'!$A$1:$A$38,0),MATCH('VLOOKUP Function'!E$2,'Master Emp List'!$A$1:$I$1,0))</f>
        <v>AD</v>
      </c>
      <c r="F18" s="11">
        <f>INDEX('Master Emp List'!$A$1:$I$38, MATCH('VLOOKUP Function'!$B18,'Master Emp List'!$A$1:$A$38,0),MATCH('VLOOKUP Function'!F$2,'Master Emp List'!$A$1:$I$1,0))</f>
        <v>12.25</v>
      </c>
      <c r="G18" s="6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/>
  <dimension ref="A1:I38"/>
  <sheetViews>
    <sheetView zoomScale="115" zoomScaleNormal="115" workbookViewId="0">
      <selection activeCell="B1" sqref="B1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1" t="s">
        <v>16</v>
      </c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32" t="s">
        <v>231</v>
      </c>
      <c r="B2" s="133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List'!$A$2:$G$5,MATCH(LEFT(A5,11),'Master Inventory List'!$A$2:$A$5,0),FALSE)</f>
        <v>150</v>
      </c>
    </row>
    <row r="6" spans="1:2" ht="13">
      <c r="A6" s="61" t="s">
        <v>228</v>
      </c>
      <c r="B6" s="56">
        <f>HLOOKUP($B$3,'Master Inventory List'!$A$2:$G$5,MATCH(LEFT(A6,11),'Master Inventory List'!$A$2:$A$5,0),FALSE)</f>
        <v>110</v>
      </c>
    </row>
    <row r="7" spans="1:2" ht="13.5" thickBot="1">
      <c r="A7" s="62" t="s">
        <v>227</v>
      </c>
      <c r="B7" s="56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defaultColWidth="9.1796875" defaultRowHeight="12.5"/>
  <cols>
    <col min="1" max="1" width="14.81640625" style="54" customWidth="1"/>
    <col min="2" max="16384" width="9.1796875" style="54"/>
  </cols>
  <sheetData>
    <row r="2" spans="1:7" ht="13">
      <c r="A2" s="63" t="s">
        <v>238</v>
      </c>
      <c r="B2" s="64" t="s">
        <v>224</v>
      </c>
      <c r="C2" s="64" t="s">
        <v>226</v>
      </c>
      <c r="D2" s="64" t="s">
        <v>237</v>
      </c>
      <c r="E2" s="64" t="s">
        <v>236</v>
      </c>
      <c r="F2" s="64" t="s">
        <v>235</v>
      </c>
      <c r="G2" s="64" t="s">
        <v>225</v>
      </c>
    </row>
    <row r="3" spans="1:7" ht="13">
      <c r="A3" s="65" t="s">
        <v>234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 ht="13">
      <c r="A4" s="65" t="s">
        <v>233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 ht="13">
      <c r="A5" s="65" t="s">
        <v>232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0"/>
  <dimension ref="B2:F19"/>
  <sheetViews>
    <sheetView zoomScale="130" zoomScaleNormal="130" workbookViewId="0">
      <selection activeCell="D5" sqref="D5"/>
    </sheetView>
  </sheetViews>
  <sheetFormatPr defaultRowHeight="12.5"/>
  <cols>
    <col min="1" max="1" width="3.1796875" customWidth="1"/>
    <col min="2" max="2" width="10" customWidth="1"/>
    <col min="3" max="3" width="16" customWidth="1"/>
    <col min="4" max="4" width="19" bestFit="1" customWidth="1"/>
    <col min="5" max="5" width="5.1796875" customWidth="1"/>
    <col min="6" max="6" width="18.26953125" bestFit="1" customWidth="1"/>
  </cols>
  <sheetData>
    <row r="2" spans="2:6" ht="41.25" customHeight="1" thickBot="1">
      <c r="C2" s="117" t="s">
        <v>281</v>
      </c>
      <c r="D2" s="120" t="s">
        <v>282</v>
      </c>
    </row>
    <row r="3" spans="2:6" ht="14">
      <c r="B3" s="116" t="s">
        <v>283</v>
      </c>
      <c r="C3" s="118" t="s">
        <v>240</v>
      </c>
      <c r="D3" s="33" t="s">
        <v>241</v>
      </c>
      <c r="F3" s="119" t="s">
        <v>239</v>
      </c>
    </row>
    <row r="4" spans="2:6">
      <c r="B4" s="67">
        <v>1054</v>
      </c>
      <c r="C4" s="67" t="str">
        <f>INDEX('INDEX MATCH Master Emp List'!A1:I38,10,3)</f>
        <v>AD</v>
      </c>
      <c r="D4" s="67">
        <f>MATCH(B4,'INDEX MATCH Master Emp List'!$D$2:$D$38,0)</f>
        <v>1</v>
      </c>
      <c r="F4" s="68" t="str">
        <f>INDEX('INDEX MATCH Master Emp List'!$B$1:$B$38,MATCH('INDEX MATCH Functions'!B4,'INDEX MATCH Master Emp List'!$D$1:$D$38,0))</f>
        <v>Howard</v>
      </c>
    </row>
    <row r="5" spans="2:6">
      <c r="B5" s="67">
        <v>1078</v>
      </c>
      <c r="C5" s="67"/>
      <c r="D5" s="67">
        <f>MATCH(B5,'INDEX MATCH Master Emp List'!$D$2:$D$38,0)</f>
        <v>5</v>
      </c>
      <c r="F5" s="68" t="str">
        <f>INDEX('INDEX MATCH Master Emp List'!$B$1:$B$38,MATCH('INDEX MATCH Functions'!B5,'INDEX MATCH Master Emp List'!$D$1:$D$38,0))</f>
        <v>Kendrick</v>
      </c>
    </row>
    <row r="6" spans="2:6">
      <c r="B6" s="67">
        <v>1284</v>
      </c>
      <c r="C6" s="67"/>
      <c r="D6" s="67">
        <f>MATCH(B6,'INDEX MATCH Master Emp List'!$D$2:$D$38,0)</f>
        <v>8</v>
      </c>
      <c r="F6" s="68" t="str">
        <f>INDEX('INDEX MATCH Master Emp List'!$B$1:$B$38,MATCH('INDEX MATCH Functions'!B6,'INDEX MATCH Master Emp List'!$D$1:$D$38,0))</f>
        <v>Frank</v>
      </c>
    </row>
    <row r="7" spans="2:6">
      <c r="B7" s="67">
        <v>1299</v>
      </c>
      <c r="C7" s="67"/>
      <c r="D7" s="67">
        <f>MATCH(B7,'INDEX MATCH Master Emp List'!$D$2:$D$38,0)</f>
        <v>11</v>
      </c>
      <c r="F7" s="68" t="str">
        <f>INDEX('INDEX MATCH Master Emp List'!$B$1:$B$38,MATCH('INDEX MATCH Functions'!B7,'INDEX MATCH Master Emp List'!$D$1:$D$38,0))</f>
        <v>Sandrae</v>
      </c>
    </row>
    <row r="8" spans="2:6">
      <c r="B8" s="67">
        <v>1329</v>
      </c>
      <c r="C8" s="67"/>
      <c r="D8" s="67">
        <f>MATCH(B8,'INDEX MATCH Master Emp List'!$D$2:$D$38,0)</f>
        <v>14</v>
      </c>
      <c r="F8" s="68" t="str">
        <f>INDEX('INDEX MATCH Master Emp List'!$B$1:$B$38,MATCH('INDEX MATCH Functions'!B8,'INDEX MATCH Master Emp List'!$D$1:$D$38,0))</f>
        <v>Tuome</v>
      </c>
    </row>
    <row r="9" spans="2:6">
      <c r="B9" s="67">
        <v>1509</v>
      </c>
      <c r="C9" s="67"/>
      <c r="D9" s="67">
        <f>MATCH(B9,'INDEX MATCH Master Emp List'!$D$2:$D$38,0)</f>
        <v>17</v>
      </c>
      <c r="F9" s="68" t="str">
        <f>INDEX('INDEX MATCH Master Emp List'!$B$1:$B$38,MATCH('INDEX MATCH Functions'!B9,'INDEX MATCH Master Emp List'!$D$1:$D$38,0))</f>
        <v>Pam</v>
      </c>
    </row>
    <row r="10" spans="2:6">
      <c r="C10" s="67"/>
      <c r="D10" s="67"/>
      <c r="F10" s="68"/>
    </row>
    <row r="11" spans="2:6">
      <c r="C11" s="67"/>
      <c r="D11" s="67"/>
      <c r="F11" s="68"/>
    </row>
    <row r="12" spans="2:6">
      <c r="C12" s="67"/>
      <c r="D12" s="67"/>
      <c r="F12" s="68"/>
    </row>
    <row r="13" spans="2:6">
      <c r="C13" s="67"/>
      <c r="D13" s="67"/>
      <c r="F13" s="68"/>
    </row>
    <row r="14" spans="2:6">
      <c r="C14" s="67"/>
      <c r="D14" s="67"/>
      <c r="F14" s="68"/>
    </row>
    <row r="15" spans="2:6">
      <c r="C15" s="67"/>
      <c r="D15" s="67"/>
      <c r="F15" s="68"/>
    </row>
    <row r="16" spans="2:6">
      <c r="C16" s="67"/>
      <c r="D16" s="67"/>
      <c r="F16" s="68"/>
    </row>
    <row r="17" spans="3:6">
      <c r="C17" s="67"/>
      <c r="D17" s="67"/>
      <c r="F17" s="68"/>
    </row>
    <row r="18" spans="3:6">
      <c r="C18" s="67"/>
      <c r="D18" s="67"/>
      <c r="F18" s="68"/>
    </row>
    <row r="19" spans="3:6">
      <c r="C19" s="67"/>
      <c r="D19" s="67"/>
      <c r="F19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I38"/>
  <sheetViews>
    <sheetView zoomScale="115" zoomScaleNormal="115" workbookViewId="0">
      <selection activeCell="D7" sqref="D7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1" t="s">
        <v>17</v>
      </c>
      <c r="B1" s="31" t="s">
        <v>18</v>
      </c>
      <c r="C1" s="31" t="s">
        <v>19</v>
      </c>
      <c r="D1" s="31" t="s">
        <v>16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2:H26"/>
  <sheetViews>
    <sheetView zoomScale="160" zoomScaleNormal="160" workbookViewId="0">
      <selection activeCell="H13" sqref="H13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customWidth="1"/>
    <col min="6" max="6" width="10.54296875" customWidth="1"/>
    <col min="7" max="7" width="14.54296875" customWidth="1"/>
    <col min="8" max="8" width="13.54296875" customWidth="1"/>
  </cols>
  <sheetData>
    <row r="2" spans="1:8" ht="13">
      <c r="A2" s="34" t="s">
        <v>168</v>
      </c>
      <c r="B2" s="34" t="s">
        <v>179</v>
      </c>
      <c r="C2" s="34" t="s">
        <v>203</v>
      </c>
      <c r="D2" s="38"/>
      <c r="E2" s="37" t="s">
        <v>167</v>
      </c>
      <c r="F2" s="37" t="s">
        <v>220</v>
      </c>
      <c r="G2" s="37" t="s">
        <v>219</v>
      </c>
      <c r="H2" s="35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6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>
        <f>LEN(A3)</f>
        <v>8</v>
      </c>
    </row>
    <row r="4" spans="1:8" ht="13">
      <c r="A4" s="22" t="s">
        <v>170</v>
      </c>
      <c r="B4" s="23" t="s">
        <v>181</v>
      </c>
      <c r="C4" s="24">
        <v>12.19</v>
      </c>
      <c r="D4" s="36"/>
      <c r="E4" s="17" t="str">
        <f>LEFT($A4,3)</f>
        <v>ACM</v>
      </c>
      <c r="F4" s="17" t="str">
        <f>MID($A4,4,3)</f>
        <v>111</v>
      </c>
      <c r="G4" s="17" t="str">
        <f>RIGHT($A4,2)</f>
        <v>WW</v>
      </c>
      <c r="H4">
        <f t="shared" ref="H4:H26" si="0">LEN(A4)</f>
        <v>8</v>
      </c>
    </row>
    <row r="5" spans="1:8" ht="13">
      <c r="A5" s="22" t="s">
        <v>171</v>
      </c>
      <c r="B5" s="23" t="s">
        <v>182</v>
      </c>
      <c r="C5" s="24">
        <v>10.89</v>
      </c>
      <c r="D5" s="36"/>
      <c r="E5" s="17" t="str">
        <f t="shared" ref="E5:E26" si="1">LEFT($A5,3)</f>
        <v>ACM</v>
      </c>
      <c r="F5" s="17" t="str">
        <f t="shared" ref="F5:F26" si="2">MID($A5,4,3)</f>
        <v>150</v>
      </c>
      <c r="G5" s="17" t="str">
        <f t="shared" ref="G5:G26" si="3">RIGHT($A5,2)</f>
        <v>WW</v>
      </c>
      <c r="H5">
        <f t="shared" si="0"/>
        <v>8</v>
      </c>
    </row>
    <row r="6" spans="1:8" ht="13">
      <c r="A6" s="22" t="s">
        <v>172</v>
      </c>
      <c r="B6" s="23" t="s">
        <v>183</v>
      </c>
      <c r="C6" s="24">
        <v>9.75</v>
      </c>
      <c r="D6" s="36"/>
      <c r="E6" s="17" t="str">
        <f t="shared" si="1"/>
        <v>ACM</v>
      </c>
      <c r="F6" s="17" t="str">
        <f t="shared" si="2"/>
        <v>321</v>
      </c>
      <c r="G6" s="17" t="str">
        <f t="shared" si="3"/>
        <v>DP</v>
      </c>
      <c r="H6">
        <f t="shared" si="0"/>
        <v>8</v>
      </c>
    </row>
    <row r="7" spans="1:8" ht="13">
      <c r="A7" s="22" t="s">
        <v>173</v>
      </c>
      <c r="B7" s="23" t="s">
        <v>184</v>
      </c>
      <c r="C7" s="24">
        <v>9.59</v>
      </c>
      <c r="D7" s="36"/>
      <c r="E7" s="17" t="str">
        <f t="shared" si="1"/>
        <v>ACM</v>
      </c>
      <c r="F7" s="17" t="str">
        <f t="shared" si="2"/>
        <v>322</v>
      </c>
      <c r="G7" s="17" t="str">
        <f t="shared" si="3"/>
        <v>DP</v>
      </c>
      <c r="H7">
        <f t="shared" si="0"/>
        <v>8</v>
      </c>
    </row>
    <row r="8" spans="1:8" ht="13">
      <c r="A8" s="22" t="s">
        <v>174</v>
      </c>
      <c r="B8" s="23" t="s">
        <v>185</v>
      </c>
      <c r="C8" s="24">
        <v>10.4</v>
      </c>
      <c r="D8" s="36"/>
      <c r="E8" s="17" t="str">
        <f t="shared" si="1"/>
        <v>ACM</v>
      </c>
      <c r="F8" s="17" t="str">
        <f t="shared" si="2"/>
        <v>325</v>
      </c>
      <c r="G8" s="17" t="str">
        <f t="shared" si="3"/>
        <v>DP</v>
      </c>
      <c r="H8">
        <f t="shared" si="0"/>
        <v>8</v>
      </c>
    </row>
    <row r="9" spans="1:8" ht="13">
      <c r="A9" s="22" t="s">
        <v>175</v>
      </c>
      <c r="B9" s="23" t="s">
        <v>186</v>
      </c>
      <c r="C9" s="24">
        <v>10.56</v>
      </c>
      <c r="D9" s="36"/>
      <c r="E9" s="17" t="str">
        <f t="shared" si="1"/>
        <v>ACM</v>
      </c>
      <c r="F9" s="17" t="str">
        <f t="shared" si="2"/>
        <v>330</v>
      </c>
      <c r="G9" s="17" t="str">
        <f t="shared" si="3"/>
        <v>DP</v>
      </c>
      <c r="H9">
        <f t="shared" si="0"/>
        <v>8</v>
      </c>
    </row>
    <row r="10" spans="1:8" ht="13">
      <c r="A10" s="22" t="s">
        <v>176</v>
      </c>
      <c r="B10" s="23" t="s">
        <v>187</v>
      </c>
      <c r="C10" s="24">
        <v>9.75</v>
      </c>
      <c r="D10" s="36"/>
      <c r="E10" s="17" t="str">
        <f t="shared" si="1"/>
        <v>ACM</v>
      </c>
      <c r="F10" s="17" t="str">
        <f t="shared" si="2"/>
        <v>450</v>
      </c>
      <c r="G10" s="17" t="str">
        <f t="shared" si="3"/>
        <v>DP</v>
      </c>
      <c r="H10">
        <f t="shared" si="0"/>
        <v>8</v>
      </c>
    </row>
    <row r="11" spans="1:8" ht="13">
      <c r="A11" s="22" t="s">
        <v>177</v>
      </c>
      <c r="B11" s="23" t="s">
        <v>188</v>
      </c>
      <c r="C11" s="24">
        <v>9.75</v>
      </c>
      <c r="D11" s="36"/>
      <c r="E11" s="17" t="str">
        <f t="shared" si="1"/>
        <v>ACM</v>
      </c>
      <c r="F11" s="17" t="str">
        <f t="shared" si="2"/>
        <v>460</v>
      </c>
      <c r="G11" s="17" t="str">
        <f t="shared" si="3"/>
        <v>DP</v>
      </c>
      <c r="H11">
        <f t="shared" si="0"/>
        <v>8</v>
      </c>
    </row>
    <row r="12" spans="1:8" ht="13">
      <c r="A12" s="22" t="s">
        <v>204</v>
      </c>
      <c r="B12" s="23" t="s">
        <v>189</v>
      </c>
      <c r="C12" s="24">
        <v>4.0599999999999996</v>
      </c>
      <c r="D12" s="36"/>
      <c r="E12" s="17" t="str">
        <f t="shared" si="1"/>
        <v>AST</v>
      </c>
      <c r="F12" s="17" t="str">
        <f t="shared" si="2"/>
        <v>530</v>
      </c>
      <c r="G12" s="17" t="str">
        <f t="shared" si="3"/>
        <v>OL</v>
      </c>
      <c r="H12">
        <f t="shared" si="0"/>
        <v>8</v>
      </c>
    </row>
    <row r="13" spans="1:8" ht="13">
      <c r="A13" s="22" t="s">
        <v>205</v>
      </c>
      <c r="B13" s="23" t="s">
        <v>190</v>
      </c>
      <c r="C13" s="24">
        <v>5.04</v>
      </c>
      <c r="D13" s="36"/>
      <c r="E13" s="17" t="str">
        <f t="shared" si="1"/>
        <v>AST</v>
      </c>
      <c r="F13" s="17" t="str">
        <f t="shared" si="2"/>
        <v>100</v>
      </c>
      <c r="G13" s="17" t="str">
        <f t="shared" si="3"/>
        <v>TF</v>
      </c>
      <c r="H13">
        <f t="shared" si="0"/>
        <v>8</v>
      </c>
    </row>
    <row r="14" spans="1:8" ht="13">
      <c r="A14" s="22" t="s">
        <v>206</v>
      </c>
      <c r="B14" s="23" t="s">
        <v>191</v>
      </c>
      <c r="C14" s="24">
        <v>3.9</v>
      </c>
      <c r="D14" s="36"/>
      <c r="E14" s="17" t="str">
        <f t="shared" si="1"/>
        <v>AST</v>
      </c>
      <c r="F14" s="17" t="str">
        <f t="shared" si="2"/>
        <v>130</v>
      </c>
      <c r="G14" s="17" t="str">
        <f t="shared" si="3"/>
        <v>OL</v>
      </c>
      <c r="H14">
        <f t="shared" si="0"/>
        <v>8</v>
      </c>
    </row>
    <row r="15" spans="1:8" ht="13">
      <c r="A15" s="22" t="s">
        <v>207</v>
      </c>
      <c r="B15" s="23" t="s">
        <v>192</v>
      </c>
      <c r="C15" s="24">
        <v>4.55</v>
      </c>
      <c r="D15" s="36"/>
      <c r="E15" s="17" t="str">
        <f t="shared" si="1"/>
        <v>AST</v>
      </c>
      <c r="F15" s="17" t="str">
        <f t="shared" si="2"/>
        <v>140</v>
      </c>
      <c r="G15" s="17" t="str">
        <f t="shared" si="3"/>
        <v>OL</v>
      </c>
      <c r="H15">
        <f t="shared" si="0"/>
        <v>8</v>
      </c>
    </row>
    <row r="16" spans="1:8" ht="13">
      <c r="A16" s="22" t="s">
        <v>208</v>
      </c>
      <c r="B16" s="23" t="s">
        <v>193</v>
      </c>
      <c r="C16" s="24">
        <v>5.2</v>
      </c>
      <c r="D16" s="36"/>
      <c r="E16" s="17" t="str">
        <f t="shared" si="1"/>
        <v>AST</v>
      </c>
      <c r="F16" s="17" t="str">
        <f t="shared" si="2"/>
        <v>300</v>
      </c>
      <c r="G16" s="17" t="str">
        <f t="shared" si="3"/>
        <v>GO</v>
      </c>
      <c r="H16">
        <f t="shared" si="0"/>
        <v>8</v>
      </c>
    </row>
    <row r="17" spans="1:8" ht="13">
      <c r="A17" s="22" t="s">
        <v>209</v>
      </c>
      <c r="B17" s="23" t="s">
        <v>194</v>
      </c>
      <c r="C17" s="24">
        <v>7.31</v>
      </c>
      <c r="D17" s="36"/>
      <c r="E17" s="17" t="str">
        <f t="shared" si="1"/>
        <v>AST</v>
      </c>
      <c r="F17" s="17" t="str">
        <f t="shared" si="2"/>
        <v>121</v>
      </c>
      <c r="G17" s="17" t="str">
        <f t="shared" si="3"/>
        <v>BF</v>
      </c>
      <c r="H17">
        <f t="shared" si="0"/>
        <v>8</v>
      </c>
    </row>
    <row r="18" spans="1:8" ht="13">
      <c r="A18" s="22" t="s">
        <v>210</v>
      </c>
      <c r="B18" s="23" t="s">
        <v>195</v>
      </c>
      <c r="C18" s="24">
        <v>6.5</v>
      </c>
      <c r="D18" s="36"/>
      <c r="E18" s="17" t="str">
        <f t="shared" si="1"/>
        <v>AST</v>
      </c>
      <c r="F18" s="17" t="str">
        <f t="shared" si="2"/>
        <v>132</v>
      </c>
      <c r="G18" s="17" t="str">
        <f t="shared" si="3"/>
        <v>PS</v>
      </c>
      <c r="H18">
        <f t="shared" si="0"/>
        <v>8</v>
      </c>
    </row>
    <row r="19" spans="1:8" ht="13">
      <c r="A19" s="22" t="s">
        <v>178</v>
      </c>
      <c r="B19" s="23" t="s">
        <v>196</v>
      </c>
      <c r="C19" s="24">
        <v>4.55</v>
      </c>
      <c r="D19" s="36"/>
      <c r="E19" s="17" t="str">
        <f t="shared" si="1"/>
        <v>AST</v>
      </c>
      <c r="F19" s="17" t="str">
        <f t="shared" si="2"/>
        <v>205</v>
      </c>
      <c r="G19" s="17" t="str">
        <f t="shared" si="3"/>
        <v>95</v>
      </c>
      <c r="H19">
        <f t="shared" si="0"/>
        <v>10</v>
      </c>
    </row>
    <row r="20" spans="1:8" ht="13">
      <c r="A20" s="22" t="s">
        <v>211</v>
      </c>
      <c r="B20" s="23" t="s">
        <v>197</v>
      </c>
      <c r="C20" s="24">
        <v>14.3</v>
      </c>
      <c r="D20" s="36"/>
      <c r="E20" s="17" t="str">
        <f t="shared" si="1"/>
        <v>BVR</v>
      </c>
      <c r="F20" s="17" t="str">
        <f t="shared" si="2"/>
        <v>590</v>
      </c>
      <c r="G20" s="17" t="str">
        <f t="shared" si="3"/>
        <v>WF</v>
      </c>
      <c r="H20">
        <f t="shared" si="0"/>
        <v>8</v>
      </c>
    </row>
    <row r="21" spans="1:8" ht="13">
      <c r="A21" s="22" t="s">
        <v>212</v>
      </c>
      <c r="B21" s="23" t="s">
        <v>213</v>
      </c>
      <c r="C21" s="24">
        <v>13.81</v>
      </c>
      <c r="D21" s="36"/>
      <c r="E21" s="17" t="str">
        <f t="shared" si="1"/>
        <v>BVR</v>
      </c>
      <c r="F21" s="17" t="str">
        <f t="shared" si="2"/>
        <v>690</v>
      </c>
      <c r="G21" s="17" t="str">
        <f t="shared" si="3"/>
        <v>AF</v>
      </c>
      <c r="H21">
        <f t="shared" si="0"/>
        <v>8</v>
      </c>
    </row>
    <row r="22" spans="1:8" ht="13">
      <c r="A22" s="22" t="s">
        <v>217</v>
      </c>
      <c r="B22" s="23" t="s">
        <v>198</v>
      </c>
      <c r="C22" s="24">
        <v>7.31</v>
      </c>
      <c r="D22" s="36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  <c r="H22">
        <f t="shared" si="0"/>
        <v>8</v>
      </c>
    </row>
    <row r="23" spans="1:8" ht="13">
      <c r="A23" s="22" t="s">
        <v>218</v>
      </c>
      <c r="B23" s="23" t="s">
        <v>199</v>
      </c>
      <c r="C23" s="24">
        <v>7.31</v>
      </c>
      <c r="D23" s="36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  <c r="H23">
        <f t="shared" si="0"/>
        <v>8</v>
      </c>
    </row>
    <row r="24" spans="1:8" ht="13">
      <c r="A24" s="22" t="s">
        <v>214</v>
      </c>
      <c r="B24" s="23" t="s">
        <v>200</v>
      </c>
      <c r="C24" s="24">
        <v>7.31</v>
      </c>
      <c r="D24" s="36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  <c r="H24">
        <f t="shared" si="0"/>
        <v>8</v>
      </c>
    </row>
    <row r="25" spans="1:8" ht="13">
      <c r="A25" s="22" t="s">
        <v>215</v>
      </c>
      <c r="B25" s="23" t="s">
        <v>201</v>
      </c>
      <c r="C25" s="24">
        <v>7.64</v>
      </c>
      <c r="D25" s="36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  <c r="H25">
        <f t="shared" si="0"/>
        <v>8</v>
      </c>
    </row>
    <row r="26" spans="1:8" ht="13">
      <c r="A26" s="22" t="s">
        <v>216</v>
      </c>
      <c r="B26" s="23" t="s">
        <v>202</v>
      </c>
      <c r="C26" s="24">
        <v>6.14</v>
      </c>
      <c r="D26" s="36"/>
      <c r="E26" s="17" t="str">
        <f t="shared" si="1"/>
        <v>TRA</v>
      </c>
      <c r="F26" s="17" t="str">
        <f t="shared" si="2"/>
        <v>610</v>
      </c>
      <c r="G26" s="17" t="str">
        <f t="shared" si="3"/>
        <v>OF</v>
      </c>
      <c r="H26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C6"/>
  <sheetViews>
    <sheetView tabSelected="1" zoomScale="120" zoomScaleNormal="120" workbookViewId="0">
      <selection activeCell="C3" sqref="C3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0" t="s">
        <v>242</v>
      </c>
      <c r="B1" s="70" t="s">
        <v>18</v>
      </c>
      <c r="C1" s="70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B2:F18"/>
  <sheetViews>
    <sheetView showGridLines="0" zoomScale="145" zoomScaleNormal="145" workbookViewId="0">
      <selection activeCell="H10" sqref="H10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39" t="s">
        <v>17</v>
      </c>
      <c r="C2" s="39" t="s">
        <v>18</v>
      </c>
      <c r="E2" s="136" t="s">
        <v>166</v>
      </c>
      <c r="F2" s="136"/>
    </row>
    <row r="3" spans="2:6" ht="13">
      <c r="B3" s="25" t="s">
        <v>25</v>
      </c>
      <c r="C3" s="25" t="s">
        <v>26</v>
      </c>
      <c r="E3" s="134" t="str">
        <f>CONCATENATE(C3," ",B3)</f>
        <v>Howard Smith</v>
      </c>
      <c r="F3" s="135"/>
    </row>
    <row r="4" spans="2:6" ht="13">
      <c r="B4" s="25" t="s">
        <v>30</v>
      </c>
      <c r="C4" s="25" t="s">
        <v>31</v>
      </c>
      <c r="E4" s="134" t="str">
        <f>CONCATENATE(C4," ",B4)</f>
        <v>Joe Gonzales</v>
      </c>
      <c r="F4" s="135"/>
    </row>
    <row r="5" spans="2:6" ht="13">
      <c r="B5" s="25" t="s">
        <v>33</v>
      </c>
      <c r="C5" s="25" t="s">
        <v>34</v>
      </c>
      <c r="E5" s="134" t="str">
        <f t="shared" ref="E5:E14" si="0">CONCATENATE(C5," ",B5)</f>
        <v>Gail Scote</v>
      </c>
      <c r="F5" s="135"/>
    </row>
    <row r="6" spans="2:6" ht="13">
      <c r="B6" s="25" t="s">
        <v>36</v>
      </c>
      <c r="C6" s="25" t="s">
        <v>37</v>
      </c>
      <c r="E6" s="134" t="str">
        <f t="shared" si="0"/>
        <v>Sheryl Kane</v>
      </c>
      <c r="F6" s="135"/>
    </row>
    <row r="7" spans="2:6" ht="13">
      <c r="B7" s="25" t="s">
        <v>41</v>
      </c>
      <c r="C7" s="25" t="s">
        <v>42</v>
      </c>
      <c r="E7" s="134" t="str">
        <f t="shared" si="0"/>
        <v>Kendrick Hapsbuch</v>
      </c>
      <c r="F7" s="135"/>
    </row>
    <row r="8" spans="2:6" ht="13">
      <c r="B8" s="25" t="s">
        <v>45</v>
      </c>
      <c r="C8" s="25" t="s">
        <v>46</v>
      </c>
      <c r="E8" s="134" t="str">
        <f t="shared" si="0"/>
        <v>Mark Henders</v>
      </c>
      <c r="F8" s="135"/>
    </row>
    <row r="9" spans="2:6" ht="13">
      <c r="B9" s="25" t="s">
        <v>48</v>
      </c>
      <c r="C9" s="25" t="s">
        <v>49</v>
      </c>
      <c r="E9" s="134" t="str">
        <f t="shared" si="0"/>
        <v>Katie Atherton</v>
      </c>
      <c r="F9" s="135"/>
    </row>
    <row r="10" spans="2:6" ht="13">
      <c r="B10" s="25" t="s">
        <v>52</v>
      </c>
      <c r="C10" s="25" t="s">
        <v>53</v>
      </c>
      <c r="E10" s="134" t="str">
        <f t="shared" si="0"/>
        <v>Frank Bellwood</v>
      </c>
      <c r="F10" s="135"/>
    </row>
    <row r="11" spans="2:6" ht="13">
      <c r="B11" s="25" t="s">
        <v>56</v>
      </c>
      <c r="C11" s="25" t="s">
        <v>57</v>
      </c>
      <c r="E11" s="134" t="str">
        <f t="shared" si="0"/>
        <v>Linda Cooper</v>
      </c>
      <c r="F11" s="135"/>
    </row>
    <row r="12" spans="2:6" ht="13">
      <c r="B12" s="25" t="s">
        <v>59</v>
      </c>
      <c r="C12" s="25" t="s">
        <v>60</v>
      </c>
      <c r="E12" s="134" t="str">
        <f t="shared" si="0"/>
        <v>Brent Cronwith</v>
      </c>
      <c r="F12" s="135"/>
    </row>
    <row r="13" spans="2:6" ht="13">
      <c r="B13" s="25" t="s">
        <v>62</v>
      </c>
      <c r="C13" s="25" t="s">
        <v>63</v>
      </c>
      <c r="E13" s="134" t="str">
        <f t="shared" si="0"/>
        <v>Sandrae Simpson</v>
      </c>
      <c r="F13" s="135"/>
    </row>
    <row r="14" spans="2:6" ht="13">
      <c r="B14" s="25" t="s">
        <v>66</v>
      </c>
      <c r="C14" s="25" t="s">
        <v>67</v>
      </c>
      <c r="E14" s="134" t="str">
        <f t="shared" si="0"/>
        <v>Randy Sindole</v>
      </c>
      <c r="F14" s="135"/>
    </row>
    <row r="15" spans="2:6" ht="13">
      <c r="B15" s="25" t="s">
        <v>25</v>
      </c>
      <c r="C15" s="25" t="s">
        <v>69</v>
      </c>
      <c r="E15" s="134" t="str">
        <f>CONCATENATE(C15," ",B15)</f>
        <v>Ellen Smith</v>
      </c>
      <c r="F15" s="135"/>
    </row>
    <row r="16" spans="2:6" ht="13">
      <c r="B16" s="25" t="s">
        <v>71</v>
      </c>
      <c r="C16" s="25" t="s">
        <v>72</v>
      </c>
      <c r="E16" s="134" t="str">
        <f t="shared" ref="E16:E17" si="1">CONCATENATE(C16," ",B16)</f>
        <v>Tuome Vuanuo</v>
      </c>
      <c r="F16" s="135"/>
    </row>
    <row r="17" spans="2:6" ht="13">
      <c r="B17" s="25" t="s">
        <v>74</v>
      </c>
      <c r="C17" s="25" t="s">
        <v>75</v>
      </c>
      <c r="E17" s="134" t="str">
        <f t="shared" si="1"/>
        <v>Tadeuz Szcznyck</v>
      </c>
      <c r="F17" s="135"/>
    </row>
    <row r="18" spans="2:6" ht="13">
      <c r="B18" s="25" t="s">
        <v>77</v>
      </c>
      <c r="C18" s="25" t="s">
        <v>78</v>
      </c>
      <c r="E18" s="134" t="str">
        <f>CONCATENATE(C18," ",B18)</f>
        <v>Tammy Wu</v>
      </c>
      <c r="F18" s="135"/>
    </row>
  </sheetData>
  <dataConsolidate/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I14"/>
  <sheetViews>
    <sheetView showGridLines="0" topLeftCell="E1" zoomScale="145" zoomScaleNormal="145" workbookViewId="0">
      <selection activeCell="I5" sqref="I5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1" t="s">
        <v>222</v>
      </c>
      <c r="B2" s="131"/>
      <c r="C2" s="131"/>
      <c r="D2" s="131"/>
      <c r="E2" s="131"/>
      <c r="F2" s="131"/>
      <c r="H2" s="27" t="s">
        <v>0</v>
      </c>
      <c r="I2" s="44">
        <v>34000</v>
      </c>
    </row>
    <row r="3" spans="1:9" ht="13.5" thickTop="1" thickBot="1"/>
    <row r="4" spans="1:9" ht="14">
      <c r="A4" s="40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42" t="s">
        <v>6</v>
      </c>
      <c r="H4" s="43" t="s">
        <v>7</v>
      </c>
      <c r="I4" s="51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49">
        <v>7892</v>
      </c>
      <c r="C9" s="49">
        <v>7695</v>
      </c>
      <c r="D9" s="49">
        <v>9520</v>
      </c>
      <c r="E9" s="49">
        <v>10252</v>
      </c>
      <c r="F9" s="50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7" t="s">
        <v>223</v>
      </c>
      <c r="B10" s="52">
        <f>SUM(B5:B9)</f>
        <v>40402</v>
      </c>
      <c r="C10" s="52">
        <f t="shared" ref="C10:F10" si="2">SUM(C5:C9)</f>
        <v>42555</v>
      </c>
      <c r="D10" s="52">
        <f t="shared" si="2"/>
        <v>46630</v>
      </c>
      <c r="E10" s="52">
        <f t="shared" si="2"/>
        <v>46624</v>
      </c>
      <c r="F10" s="52">
        <f t="shared" si="2"/>
        <v>176211</v>
      </c>
    </row>
    <row r="11" spans="1:9" ht="14">
      <c r="A11" s="48"/>
    </row>
    <row r="12" spans="1:9" ht="15.75" customHeight="1">
      <c r="E12" s="45" t="s">
        <v>12</v>
      </c>
      <c r="F12" s="4">
        <f>SUM(F5:F10)</f>
        <v>352422</v>
      </c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69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I14"/>
  <sheetViews>
    <sheetView showGridLines="0" zoomScale="145" zoomScaleNormal="145" workbookViewId="0">
      <selection activeCell="H14" sqref="H14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1" t="s">
        <v>222</v>
      </c>
      <c r="B2" s="131"/>
      <c r="C2" s="131"/>
      <c r="D2" s="131"/>
      <c r="E2" s="131"/>
      <c r="F2" s="131"/>
      <c r="H2" s="27" t="s">
        <v>0</v>
      </c>
      <c r="I2" s="44">
        <v>34000</v>
      </c>
    </row>
    <row r="3" spans="1:9" ht="13.5" thickTop="1" thickBot="1"/>
    <row r="4" spans="1:9" ht="14">
      <c r="A4" s="40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42" t="s">
        <v>6</v>
      </c>
      <c r="H4" s="43" t="s">
        <v>7</v>
      </c>
      <c r="I4" s="51" t="s">
        <v>8</v>
      </c>
    </row>
    <row r="5" spans="1:9" ht="15.5">
      <c r="A5" s="5" t="s">
        <v>9</v>
      </c>
      <c r="B5" s="71">
        <v>9550</v>
      </c>
      <c r="C5" s="71">
        <v>9230</v>
      </c>
      <c r="D5" s="71">
        <v>8500</v>
      </c>
      <c r="E5" s="71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1">
        <v>5975</v>
      </c>
      <c r="C6" s="71">
        <v>6900</v>
      </c>
      <c r="D6" s="71">
        <v>8500</v>
      </c>
      <c r="E6" s="71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1">
        <v>7425</v>
      </c>
      <c r="C7" s="71">
        <v>8580</v>
      </c>
      <c r="D7" s="71">
        <v>9910</v>
      </c>
      <c r="E7" s="71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1">
        <v>9560</v>
      </c>
      <c r="C8" s="71">
        <v>10150</v>
      </c>
      <c r="D8" s="71">
        <v>10200</v>
      </c>
      <c r="E8" s="71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2">
        <v>7892</v>
      </c>
      <c r="C9" s="72">
        <v>7695</v>
      </c>
      <c r="D9" s="72">
        <v>9520</v>
      </c>
      <c r="E9" s="72">
        <v>10252</v>
      </c>
      <c r="F9" s="50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7" t="s">
        <v>223</v>
      </c>
      <c r="B10" s="52">
        <f>SUM(B5:B9)</f>
        <v>40402</v>
      </c>
      <c r="C10" s="52">
        <f t="shared" ref="C10:F10" si="2">SUM(C5:C9)</f>
        <v>42555</v>
      </c>
      <c r="D10" s="52">
        <f t="shared" si="2"/>
        <v>46630</v>
      </c>
      <c r="E10" s="52">
        <f t="shared" si="2"/>
        <v>46624</v>
      </c>
      <c r="F10" s="52">
        <f t="shared" si="2"/>
        <v>176211</v>
      </c>
    </row>
    <row r="11" spans="1:9" ht="14">
      <c r="A11" s="48"/>
      <c r="H11" s="122"/>
    </row>
    <row r="12" spans="1:9" ht="15.75" customHeight="1">
      <c r="E12" s="45" t="s">
        <v>12</v>
      </c>
      <c r="F12" s="4">
        <f>SUM(F5:F10)</f>
        <v>352422</v>
      </c>
      <c r="H12" s="46"/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5"/>
  <cols>
    <col min="1" max="1" width="18" bestFit="1" customWidth="1"/>
    <col min="2" max="2" width="10" customWidth="1"/>
    <col min="4" max="4" width="12.26953125" bestFit="1" customWidth="1"/>
  </cols>
  <sheetData>
    <row r="1" spans="1:4" ht="13" thickBot="1"/>
    <row r="2" spans="1:4" ht="13">
      <c r="A2" s="95" t="s">
        <v>254</v>
      </c>
      <c r="B2" s="91">
        <v>220000</v>
      </c>
      <c r="C2" s="73"/>
      <c r="D2" s="94" t="s">
        <v>253</v>
      </c>
    </row>
    <row r="3" spans="1:4" ht="13.5" thickBot="1">
      <c r="A3" s="95" t="s">
        <v>252</v>
      </c>
      <c r="B3" s="92">
        <v>0.08</v>
      </c>
      <c r="C3" s="73"/>
      <c r="D3" s="123">
        <f>-PMT(B3/12,B4,B2)</f>
        <v>1697.9956826206067</v>
      </c>
    </row>
    <row r="4" spans="1:4" ht="13">
      <c r="A4" s="95" t="s">
        <v>251</v>
      </c>
      <c r="B4" s="93">
        <v>300</v>
      </c>
      <c r="C4" s="73"/>
      <c r="D4" s="7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H11"/>
  <sheetViews>
    <sheetView zoomScale="130" zoomScaleNormal="130" workbookViewId="0">
      <selection activeCell="C6" sqref="C6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99" t="s">
        <v>272</v>
      </c>
      <c r="H3" s="100" t="s">
        <v>279</v>
      </c>
    </row>
    <row r="4" spans="1:8" ht="16" thickBot="1">
      <c r="A4" s="88" t="s">
        <v>278</v>
      </c>
      <c r="B4" s="98" t="s">
        <v>277</v>
      </c>
      <c r="C4" s="98" t="s">
        <v>276</v>
      </c>
      <c r="D4" s="98" t="s">
        <v>275</v>
      </c>
      <c r="E4" s="98" t="s">
        <v>274</v>
      </c>
      <c r="F4" s="73"/>
      <c r="G4" s="101" t="s">
        <v>273</v>
      </c>
      <c r="H4" s="102" t="s">
        <v>272</v>
      </c>
    </row>
    <row r="5" spans="1:8" ht="15.5">
      <c r="A5" s="86" t="s">
        <v>271</v>
      </c>
      <c r="B5" s="85">
        <v>92</v>
      </c>
      <c r="C5" s="85">
        <v>39.999999999999993</v>
      </c>
      <c r="D5" s="85">
        <v>92</v>
      </c>
      <c r="E5" s="85">
        <v>92</v>
      </c>
      <c r="F5" s="73"/>
      <c r="G5" s="84">
        <v>1.25</v>
      </c>
      <c r="H5" s="83">
        <f>G5*(B5+C5+D5+E5)</f>
        <v>395</v>
      </c>
    </row>
    <row r="6" spans="1:8" ht="15.5">
      <c r="A6" s="86" t="s">
        <v>270</v>
      </c>
      <c r="B6" s="87">
        <v>32.999999999999986</v>
      </c>
      <c r="C6" s="85">
        <v>20</v>
      </c>
      <c r="D6" s="85">
        <v>43.000000000000007</v>
      </c>
      <c r="E6" s="85">
        <v>20</v>
      </c>
      <c r="F6" s="73"/>
      <c r="G6" s="84">
        <v>1.84</v>
      </c>
      <c r="H6" s="83">
        <f>G6*(B6+C6+D6+E6)</f>
        <v>213.44</v>
      </c>
    </row>
    <row r="7" spans="1:8" ht="15.5">
      <c r="A7" s="86" t="s">
        <v>269</v>
      </c>
      <c r="B7" s="85">
        <v>55</v>
      </c>
      <c r="C7" s="85">
        <v>20</v>
      </c>
      <c r="D7" s="85">
        <v>55</v>
      </c>
      <c r="E7" s="85">
        <v>48</v>
      </c>
      <c r="F7" s="73"/>
      <c r="G7" s="84">
        <v>1.45</v>
      </c>
      <c r="H7" s="83">
        <f>G7*(B7+C7+D7+E7)</f>
        <v>258.09999999999997</v>
      </c>
    </row>
    <row r="8" spans="1:8" ht="15.5">
      <c r="A8" s="96" t="s">
        <v>268</v>
      </c>
      <c r="B8" s="82">
        <f>SUM(B5:B7)</f>
        <v>180</v>
      </c>
      <c r="C8" s="82">
        <f>SUM(C5:C7)</f>
        <v>80</v>
      </c>
      <c r="D8" s="82">
        <f>SUM(D5:D7)</f>
        <v>190</v>
      </c>
      <c r="E8" s="82">
        <f>SUM(E5:E7)</f>
        <v>160</v>
      </c>
      <c r="F8" s="73"/>
      <c r="G8" s="81"/>
      <c r="H8" s="103">
        <f>H5+H6+H7</f>
        <v>866.54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7" t="s">
        <v>267</v>
      </c>
      <c r="B10" s="104">
        <v>180</v>
      </c>
      <c r="C10" s="104">
        <v>80</v>
      </c>
      <c r="D10" s="104">
        <v>190</v>
      </c>
      <c r="E10" s="104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B2:C14"/>
  <sheetViews>
    <sheetView zoomScale="145" zoomScaleNormal="145" workbookViewId="0">
      <selection activeCell="F9" sqref="F9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5" t="s">
        <v>254</v>
      </c>
      <c r="C2" s="105">
        <v>220000</v>
      </c>
    </row>
    <row r="3" spans="2:3" ht="13">
      <c r="B3" s="95" t="s">
        <v>252</v>
      </c>
      <c r="C3" s="106">
        <v>0.08</v>
      </c>
    </row>
    <row r="4" spans="2:3" ht="13">
      <c r="B4" s="95" t="s">
        <v>251</v>
      </c>
      <c r="C4" s="107">
        <f>25*12</f>
        <v>300</v>
      </c>
    </row>
    <row r="6" spans="2:3">
      <c r="C6" s="75"/>
    </row>
    <row r="7" spans="2:3" ht="15.5">
      <c r="B7" s="109" t="s">
        <v>250</v>
      </c>
      <c r="C7" s="108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B2:G14"/>
  <sheetViews>
    <sheetView zoomScale="145" zoomScaleNormal="145" workbookViewId="0">
      <selection activeCell="E14" sqref="E14"/>
    </sheetView>
  </sheetViews>
  <sheetFormatPr defaultColWidth="9.1796875" defaultRowHeight="12.5"/>
  <cols>
    <col min="1" max="1" width="9.1796875" style="73"/>
    <col min="2" max="2" width="11.54296875" style="73" customWidth="1"/>
    <col min="3" max="6" width="14.81640625" style="73" bestFit="1" customWidth="1"/>
    <col min="7" max="7" width="16.7265625" style="73" bestFit="1" customWidth="1"/>
    <col min="8" max="16384" width="9.1796875" style="73"/>
  </cols>
  <sheetData>
    <row r="2" spans="2:7" ht="15.5">
      <c r="B2" s="109" t="s">
        <v>266</v>
      </c>
      <c r="C2" s="109" t="s">
        <v>265</v>
      </c>
      <c r="D2" s="109" t="s">
        <v>264</v>
      </c>
      <c r="E2" s="109" t="s">
        <v>263</v>
      </c>
      <c r="F2" s="109" t="s">
        <v>262</v>
      </c>
      <c r="G2" s="109" t="s">
        <v>261</v>
      </c>
    </row>
    <row r="3" spans="2:7" ht="13">
      <c r="B3" s="110" t="s">
        <v>258</v>
      </c>
      <c r="C3" s="111">
        <v>85292.25</v>
      </c>
      <c r="D3" s="111">
        <f>C3*C11+C3</f>
        <v>88106.894249999998</v>
      </c>
      <c r="E3" s="111">
        <f>D3*C11+D3</f>
        <v>91014.421760249999</v>
      </c>
      <c r="F3" s="111">
        <f>E3*C11+E3</f>
        <v>94017.897678338253</v>
      </c>
      <c r="G3" s="111">
        <f>SUM(C3:F3)</f>
        <v>358431.46368858824</v>
      </c>
    </row>
    <row r="4" spans="2:7" ht="13">
      <c r="B4" s="110" t="s">
        <v>257</v>
      </c>
      <c r="C4" s="111">
        <v>75891.25</v>
      </c>
      <c r="D4" s="111">
        <f>C4*C12+C4</f>
        <v>77636.748749999999</v>
      </c>
      <c r="E4" s="111">
        <f>D4*C12+D4</f>
        <v>79422.39397125</v>
      </c>
      <c r="F4" s="111">
        <f>E4*C12+E4</f>
        <v>81249.109032588749</v>
      </c>
      <c r="G4" s="111">
        <f>SUM(C4:F4)</f>
        <v>314199.50175383873</v>
      </c>
    </row>
    <row r="5" spans="2:7" ht="13">
      <c r="B5" s="110" t="s">
        <v>256</v>
      </c>
      <c r="C5" s="111">
        <v>90568.34</v>
      </c>
      <c r="D5" s="111">
        <f>C5*C13+C5</f>
        <v>94462.778619999997</v>
      </c>
      <c r="E5" s="111">
        <f>D5*C13+D5</f>
        <v>98524.678100659992</v>
      </c>
      <c r="F5" s="111">
        <f>E5*C13+E5</f>
        <v>102761.23925898837</v>
      </c>
      <c r="G5" s="111">
        <f>SUM(C5:F5)</f>
        <v>386317.03597964835</v>
      </c>
    </row>
    <row r="6" spans="2:7" ht="13">
      <c r="B6" s="110" t="s">
        <v>255</v>
      </c>
      <c r="C6" s="111">
        <v>65897.25</v>
      </c>
      <c r="D6" s="111">
        <f>C6*C14+C6</f>
        <v>66622.119749999998</v>
      </c>
      <c r="E6" s="111">
        <f>D6*C14+D6</f>
        <v>67354.963067249992</v>
      </c>
      <c r="F6" s="111">
        <f>E6*C14+E6</f>
        <v>68095.867660989737</v>
      </c>
      <c r="G6" s="111">
        <f>SUM(C6:F6)</f>
        <v>267970.20047823974</v>
      </c>
    </row>
    <row r="7" spans="2:7" ht="15.5">
      <c r="B7" s="98" t="s">
        <v>260</v>
      </c>
      <c r="C7" s="76">
        <f>SUM(C3:C6)</f>
        <v>317649.08999999997</v>
      </c>
      <c r="D7" s="76">
        <f>SUM(D3:D6)</f>
        <v>326828.54136999999</v>
      </c>
      <c r="E7" s="76">
        <f>SUM(E3:E6)</f>
        <v>336316.45689940994</v>
      </c>
      <c r="F7" s="76">
        <f>SUM(F3:F6)</f>
        <v>346124.11363090511</v>
      </c>
      <c r="G7" s="76">
        <f>SUM(G3:G6)</f>
        <v>1326918.201900315</v>
      </c>
    </row>
    <row r="10" spans="2:7" ht="13">
      <c r="B10" s="137" t="s">
        <v>259</v>
      </c>
      <c r="C10" s="137"/>
    </row>
    <row r="11" spans="2:7" ht="13">
      <c r="B11" s="112" t="s">
        <v>258</v>
      </c>
      <c r="C11" s="113">
        <v>3.3000000000000002E-2</v>
      </c>
    </row>
    <row r="12" spans="2:7" ht="13">
      <c r="B12" s="112" t="s">
        <v>257</v>
      </c>
      <c r="C12" s="113">
        <v>2.3E-2</v>
      </c>
    </row>
    <row r="13" spans="2:7" ht="13">
      <c r="B13" s="112" t="s">
        <v>256</v>
      </c>
      <c r="C13" s="113">
        <v>4.2999999999999997E-2</v>
      </c>
    </row>
    <row r="14" spans="2:7" ht="13">
      <c r="B14" s="112" t="s">
        <v>255</v>
      </c>
      <c r="C14" s="113">
        <v>1.0999999999999999E-2</v>
      </c>
    </row>
  </sheetData>
  <scenarios current="0" show="0">
    <scenario name="DEFAULT SCENARIO" locked="1" count="4" user="USER" comment="Created by USER on 6/30/2022">
      <inputCells r="C11" val="0.033" numFmtId="10"/>
      <inputCells r="C12" val="0.023" numFmtId="10"/>
      <inputCells r="C13" val="0.043" numFmtId="10"/>
      <inputCells r="C14" val="0.011" numFmtId="10"/>
    </scenario>
    <scenario name="BEST SCENARIO" locked="1" count="4" user="USER" comment="Created by USER on 6/30/2022">
      <inputCells r="C11" val="0.07" numFmtId="10"/>
      <inputCells r="C12" val="0.06" numFmtId="10"/>
      <inputCells r="C13" val="0.067" numFmtId="10"/>
      <inputCells r="C14" val="0.05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I38"/>
  <sheetViews>
    <sheetView workbookViewId="0">
      <selection activeCell="E2" sqref="E2"/>
    </sheetView>
  </sheetViews>
  <sheetFormatPr defaultRowHeight="12.5"/>
  <cols>
    <col min="1" max="7" width="18.81640625" customWidth="1"/>
    <col min="8" max="8" width="18.81640625" style="115" customWidth="1"/>
    <col min="9" max="9" width="18.81640625" style="114" customWidth="1"/>
  </cols>
  <sheetData>
    <row r="1" spans="1:9" ht="14">
      <c r="A1" s="124" t="s">
        <v>283</v>
      </c>
      <c r="B1" s="124" t="s">
        <v>284</v>
      </c>
      <c r="C1" s="124" t="s">
        <v>285</v>
      </c>
      <c r="D1" s="124" t="s">
        <v>286</v>
      </c>
      <c r="E1" s="124" t="s">
        <v>287</v>
      </c>
      <c r="F1" s="124" t="s">
        <v>290</v>
      </c>
      <c r="G1" s="124" t="s">
        <v>288</v>
      </c>
      <c r="H1" s="125" t="s">
        <v>291</v>
      </c>
      <c r="I1" s="126" t="s">
        <v>289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27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27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27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27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27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27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27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27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27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27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27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27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27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27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27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27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27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27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27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27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27">
        <v>32979</v>
      </c>
      <c r="I22" s="9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27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27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27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27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27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27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27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27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27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27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27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27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27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27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27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27">
        <v>35981</v>
      </c>
      <c r="I38" s="9">
        <v>10.15</v>
      </c>
    </row>
  </sheetData>
  <autoFilter ref="A1:I38" xr:uid="{00000000-0009-0000-0000-000012000000}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I38"/>
  <sheetViews>
    <sheetView topLeftCell="A4" workbookViewId="0">
      <selection activeCell="E2" sqref="E2"/>
    </sheetView>
  </sheetViews>
  <sheetFormatPr defaultRowHeight="12.5"/>
  <cols>
    <col min="1" max="7" width="18.81640625" customWidth="1"/>
    <col min="8" max="8" width="18.81640625" style="115" customWidth="1"/>
    <col min="9" max="9" width="18.81640625" style="114" customWidth="1"/>
  </cols>
  <sheetData>
    <row r="1" spans="1:9" ht="14">
      <c r="A1" s="124" t="s">
        <v>283</v>
      </c>
      <c r="B1" s="124" t="s">
        <v>284</v>
      </c>
      <c r="C1" s="124" t="s">
        <v>285</v>
      </c>
      <c r="D1" s="124" t="s">
        <v>286</v>
      </c>
      <c r="E1" s="124" t="s">
        <v>287</v>
      </c>
      <c r="F1" s="124" t="s">
        <v>290</v>
      </c>
      <c r="G1" s="124" t="s">
        <v>288</v>
      </c>
      <c r="H1" s="125" t="s">
        <v>291</v>
      </c>
      <c r="I1" s="126" t="s">
        <v>289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27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27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27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27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27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27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27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27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27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27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27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27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27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27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27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27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27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27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27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27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27">
        <v>32979</v>
      </c>
      <c r="I22" s="9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27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27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27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27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27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27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27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27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27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27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27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27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27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27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27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27">
        <v>35981</v>
      </c>
      <c r="I38" s="9">
        <v>10.15</v>
      </c>
    </row>
  </sheetData>
  <autoFilter ref="A1:I38" xr:uid="{00000000-0009-0000-0000-000013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Button 1">
              <controlPr defaultSize="0" print="0" autoFill="0" autoPict="0" macro="[0]!Macro2">
                <anchor moveWithCells="1" sizeWithCells="1">
                  <from>
                    <xdr:col>10</xdr:col>
                    <xdr:colOff>279400</xdr:colOff>
                    <xdr:row>2</xdr:row>
                    <xdr:rowOff>0</xdr:rowOff>
                  </from>
                  <to>
                    <xdr:col>11</xdr:col>
                    <xdr:colOff>476250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Duwi Kurnia Sari</cp:lastModifiedBy>
  <cp:lastPrinted>2016-02-22T19:48:39Z</cp:lastPrinted>
  <dcterms:created xsi:type="dcterms:W3CDTF">2001-09-07T21:10:35Z</dcterms:created>
  <dcterms:modified xsi:type="dcterms:W3CDTF">2024-05-09T12:00:41Z</dcterms:modified>
</cp:coreProperties>
</file>