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ucovci\OneDrive\Marek\VŠ\BP\"/>
    </mc:Choice>
  </mc:AlternateContent>
  <bookViews>
    <workbookView xWindow="0" yWindow="0" windowWidth="20400" windowHeight="732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65" i="1" l="1"/>
  <c r="AG65" i="1"/>
  <c r="AH65" i="1"/>
  <c r="AI65" i="1"/>
  <c r="AJ65" i="1"/>
  <c r="AK65" i="1"/>
  <c r="AL65" i="1"/>
  <c r="AM65" i="1"/>
  <c r="AN65" i="1"/>
  <c r="AF66" i="1"/>
  <c r="AG66" i="1"/>
  <c r="AH66" i="1"/>
  <c r="AI66" i="1"/>
  <c r="AJ66" i="1"/>
  <c r="AK66" i="1"/>
  <c r="AL66" i="1"/>
  <c r="AM66" i="1"/>
  <c r="AN66" i="1"/>
  <c r="AG64" i="1"/>
  <c r="AH64" i="1"/>
  <c r="AI64" i="1"/>
  <c r="AJ64" i="1"/>
  <c r="AK64" i="1"/>
  <c r="AL64" i="1"/>
  <c r="AM64" i="1"/>
  <c r="AN64" i="1"/>
  <c r="V65" i="1"/>
  <c r="AF64" i="1"/>
  <c r="AJ63" i="1"/>
  <c r="U65" i="1"/>
  <c r="W65" i="1"/>
  <c r="X65" i="1"/>
  <c r="Y65" i="1"/>
  <c r="Z65" i="1"/>
  <c r="AA65" i="1"/>
  <c r="AB65" i="1"/>
  <c r="AC65" i="1"/>
  <c r="U66" i="1"/>
  <c r="V66" i="1"/>
  <c r="W66" i="1"/>
  <c r="X66" i="1"/>
  <c r="Y66" i="1"/>
  <c r="Z66" i="1"/>
  <c r="AA66" i="1"/>
  <c r="AB66" i="1"/>
  <c r="AC66" i="1"/>
  <c r="W64" i="1"/>
  <c r="V64" i="1"/>
  <c r="X64" i="1"/>
  <c r="Y64" i="1"/>
  <c r="Z64" i="1"/>
  <c r="AA64" i="1"/>
  <c r="AB64" i="1"/>
  <c r="AC64" i="1"/>
  <c r="U64" i="1"/>
  <c r="Y63" i="1"/>
  <c r="AS4" i="1" l="1"/>
  <c r="AT4" i="1"/>
  <c r="AU4" i="1"/>
  <c r="AV4" i="1"/>
  <c r="AW4" i="1"/>
  <c r="AX4" i="1"/>
  <c r="AY4" i="1"/>
  <c r="AR4" i="1"/>
  <c r="AQ4" i="1"/>
  <c r="AQ5" i="1"/>
  <c r="J30" i="1"/>
  <c r="J15" i="1"/>
  <c r="P15" i="1"/>
  <c r="P34" i="1"/>
  <c r="M32" i="1"/>
  <c r="N32" i="1"/>
  <c r="O32" i="1"/>
  <c r="P32" i="1"/>
  <c r="M33" i="1"/>
  <c r="N33" i="1"/>
  <c r="O33" i="1"/>
  <c r="P33" i="1"/>
  <c r="P31" i="1"/>
  <c r="N31" i="1"/>
  <c r="O31" i="1"/>
  <c r="N34" i="1"/>
  <c r="O34" i="1"/>
  <c r="M34" i="1"/>
  <c r="M31" i="1"/>
  <c r="N12" i="1"/>
  <c r="O12" i="1"/>
  <c r="N13" i="1"/>
  <c r="O13" i="1"/>
  <c r="N14" i="1"/>
  <c r="O14" i="1"/>
  <c r="N15" i="1"/>
  <c r="O15" i="1"/>
  <c r="M15" i="1"/>
  <c r="M13" i="1"/>
  <c r="P13" i="1"/>
  <c r="M14" i="1"/>
  <c r="P14" i="1"/>
  <c r="P12" i="1"/>
  <c r="M12" i="1"/>
  <c r="I6" i="1" l="1"/>
  <c r="AS17" i="1" l="1"/>
  <c r="AT17" i="1"/>
  <c r="AU17" i="1"/>
  <c r="AV17" i="1"/>
  <c r="AW17" i="1"/>
  <c r="AX17" i="1"/>
  <c r="AY17" i="1"/>
  <c r="AR17" i="1"/>
  <c r="AQ17" i="1"/>
  <c r="AS15" i="1"/>
  <c r="AT15" i="1"/>
  <c r="AU15" i="1"/>
  <c r="AV15" i="1"/>
  <c r="AW15" i="1"/>
  <c r="AX15" i="1"/>
  <c r="AY15" i="1"/>
  <c r="AR15" i="1"/>
  <c r="AQ15" i="1"/>
  <c r="AT13" i="1"/>
  <c r="AU13" i="1"/>
  <c r="AV13" i="1"/>
  <c r="AW13" i="1"/>
  <c r="AX13" i="1"/>
  <c r="AY13" i="1"/>
  <c r="AS13" i="1"/>
  <c r="AR13" i="1"/>
  <c r="AQ13" i="1"/>
  <c r="AT9" i="1"/>
  <c r="AU9" i="1"/>
  <c r="AV9" i="1"/>
  <c r="AW9" i="1"/>
  <c r="AX9" i="1"/>
  <c r="AY9" i="1"/>
  <c r="AS9" i="1"/>
  <c r="AR9" i="1"/>
  <c r="AQ9" i="1"/>
  <c r="AT7" i="1"/>
  <c r="AS7" i="1"/>
  <c r="AU7" i="1"/>
  <c r="AV7" i="1"/>
  <c r="AW7" i="1"/>
  <c r="AX7" i="1"/>
  <c r="AY7" i="1"/>
  <c r="AR7" i="1"/>
  <c r="AQ7" i="1"/>
  <c r="AS5" i="1"/>
  <c r="AT5" i="1"/>
  <c r="AU5" i="1"/>
  <c r="AV5" i="1"/>
  <c r="AW5" i="1"/>
  <c r="AX5" i="1"/>
  <c r="AY5" i="1"/>
  <c r="AR5" i="1"/>
  <c r="AY18" i="1" l="1"/>
  <c r="AX18" i="1"/>
  <c r="AW18" i="1"/>
  <c r="AV18" i="1"/>
  <c r="AU18" i="1"/>
  <c r="AT18" i="1"/>
  <c r="AS18" i="1"/>
  <c r="AR18" i="1"/>
  <c r="AQ18" i="1"/>
  <c r="AY16" i="1"/>
  <c r="AX16" i="1"/>
  <c r="AW16" i="1"/>
  <c r="AV16" i="1"/>
  <c r="AU16" i="1"/>
  <c r="AT16" i="1"/>
  <c r="AS16" i="1"/>
  <c r="AR16" i="1"/>
  <c r="AQ16" i="1"/>
  <c r="AY14" i="1"/>
  <c r="AX14" i="1"/>
  <c r="AW14" i="1"/>
  <c r="AV14" i="1"/>
  <c r="AU14" i="1"/>
  <c r="AT14" i="1"/>
  <c r="AS14" i="1"/>
  <c r="AR14" i="1"/>
  <c r="AQ14" i="1"/>
  <c r="AN29" i="1"/>
  <c r="AN58" i="1" s="1"/>
  <c r="AM29" i="1"/>
  <c r="AM58" i="1" s="1"/>
  <c r="AL29" i="1"/>
  <c r="AL58" i="1" s="1"/>
  <c r="AK29" i="1"/>
  <c r="AK58" i="1" s="1"/>
  <c r="AJ29" i="1"/>
  <c r="AJ58" i="1" s="1"/>
  <c r="AI29" i="1"/>
  <c r="AI58" i="1" s="1"/>
  <c r="AH29" i="1"/>
  <c r="AH58" i="1" s="1"/>
  <c r="AG29" i="1"/>
  <c r="AG58" i="1" s="1"/>
  <c r="AF29" i="1"/>
  <c r="AF58" i="1" s="1"/>
  <c r="AN28" i="1"/>
  <c r="AN57" i="1" s="1"/>
  <c r="AM28" i="1"/>
  <c r="AM57" i="1" s="1"/>
  <c r="AL28" i="1"/>
  <c r="AL57" i="1" s="1"/>
  <c r="AK28" i="1"/>
  <c r="AK57" i="1" s="1"/>
  <c r="AJ28" i="1"/>
  <c r="AJ57" i="1" s="1"/>
  <c r="AI28" i="1"/>
  <c r="AI57" i="1" s="1"/>
  <c r="AH28" i="1"/>
  <c r="AH57" i="1" s="1"/>
  <c r="AG28" i="1"/>
  <c r="AG57" i="1" s="1"/>
  <c r="AF28" i="1"/>
  <c r="AF57" i="1" s="1"/>
  <c r="AN27" i="1"/>
  <c r="AN56" i="1" s="1"/>
  <c r="AM27" i="1"/>
  <c r="AM56" i="1" s="1"/>
  <c r="AL27" i="1"/>
  <c r="AL56" i="1" s="1"/>
  <c r="AK27" i="1"/>
  <c r="AK56" i="1" s="1"/>
  <c r="AJ27" i="1"/>
  <c r="AJ56" i="1" s="1"/>
  <c r="AI27" i="1"/>
  <c r="AI56" i="1" s="1"/>
  <c r="AH27" i="1"/>
  <c r="AH56" i="1" s="1"/>
  <c r="AG27" i="1"/>
  <c r="AG56" i="1" s="1"/>
  <c r="AF27" i="1"/>
  <c r="AF56" i="1" s="1"/>
  <c r="AJ26" i="1"/>
  <c r="AJ55" i="1" s="1"/>
  <c r="AY10" i="1"/>
  <c r="AX10" i="1"/>
  <c r="AW10" i="1"/>
  <c r="AV10" i="1"/>
  <c r="AU10" i="1"/>
  <c r="AT10" i="1"/>
  <c r="AS10" i="1"/>
  <c r="AR10" i="1"/>
  <c r="AQ10" i="1"/>
  <c r="AC29" i="1"/>
  <c r="AC58" i="1" s="1"/>
  <c r="AB29" i="1"/>
  <c r="AB58" i="1" s="1"/>
  <c r="AA29" i="1"/>
  <c r="AA58" i="1" s="1"/>
  <c r="Z29" i="1"/>
  <c r="Z58" i="1" s="1"/>
  <c r="Y29" i="1"/>
  <c r="Y58" i="1" s="1"/>
  <c r="X29" i="1"/>
  <c r="X58" i="1" s="1"/>
  <c r="W29" i="1"/>
  <c r="W58" i="1" s="1"/>
  <c r="V29" i="1"/>
  <c r="V58" i="1" s="1"/>
  <c r="U29" i="1"/>
  <c r="U58" i="1" s="1"/>
  <c r="AY8" i="1"/>
  <c r="AX8" i="1"/>
  <c r="AW8" i="1"/>
  <c r="AV8" i="1"/>
  <c r="AU8" i="1"/>
  <c r="AT8" i="1"/>
  <c r="AS8" i="1"/>
  <c r="AR8" i="1"/>
  <c r="AQ8" i="1"/>
  <c r="AC28" i="1"/>
  <c r="AC57" i="1" s="1"/>
  <c r="AB28" i="1"/>
  <c r="AB57" i="1" s="1"/>
  <c r="AA28" i="1"/>
  <c r="AA57" i="1" s="1"/>
  <c r="Z28" i="1"/>
  <c r="Z57" i="1" s="1"/>
  <c r="Y28" i="1"/>
  <c r="Y57" i="1" s="1"/>
  <c r="X28" i="1"/>
  <c r="X57" i="1" s="1"/>
  <c r="W28" i="1"/>
  <c r="W57" i="1" s="1"/>
  <c r="V28" i="1"/>
  <c r="V57" i="1" s="1"/>
  <c r="U28" i="1"/>
  <c r="U57" i="1" s="1"/>
  <c r="AY6" i="1"/>
  <c r="AX6" i="1"/>
  <c r="AW6" i="1"/>
  <c r="AV6" i="1"/>
  <c r="AU6" i="1"/>
  <c r="AT6" i="1"/>
  <c r="AS6" i="1"/>
  <c r="AR6" i="1"/>
  <c r="AQ6" i="1"/>
  <c r="AC27" i="1"/>
  <c r="AC56" i="1" s="1"/>
  <c r="AB27" i="1"/>
  <c r="AB56" i="1" s="1"/>
  <c r="AA27" i="1"/>
  <c r="AA56" i="1" s="1"/>
  <c r="Z27" i="1"/>
  <c r="Z56" i="1" s="1"/>
  <c r="X27" i="1"/>
  <c r="X56" i="1" s="1"/>
  <c r="W27" i="1"/>
  <c r="W56" i="1" s="1"/>
  <c r="V27" i="1"/>
  <c r="V56" i="1" s="1"/>
  <c r="U27" i="1"/>
  <c r="U56" i="1" s="1"/>
  <c r="Y26" i="1"/>
  <c r="Y55" i="1" s="1"/>
  <c r="BG12" i="1"/>
  <c r="BF12" i="1"/>
  <c r="BE12" i="1"/>
  <c r="BD12" i="1"/>
  <c r="BC12" i="1"/>
  <c r="BH11" i="1"/>
  <c r="BH10" i="1"/>
  <c r="M27" i="1"/>
  <c r="M8" i="1"/>
  <c r="I22" i="1"/>
  <c r="I21" i="1"/>
  <c r="D16" i="1"/>
  <c r="BH12" i="1" l="1"/>
  <c r="BD6" i="1"/>
  <c r="BE6" i="1"/>
  <c r="BF6" i="1"/>
  <c r="BG6" i="1"/>
  <c r="BC6" i="1"/>
  <c r="Y30" i="1"/>
  <c r="BH5" i="1"/>
  <c r="BH4" i="1"/>
  <c r="Y27" i="1"/>
  <c r="Y56" i="1" s="1"/>
  <c r="I7" i="1"/>
  <c r="D8" i="1"/>
  <c r="BH6" i="1" l="1"/>
</calcChain>
</file>

<file path=xl/sharedStrings.xml><?xml version="1.0" encoding="utf-8"?>
<sst xmlns="http://schemas.openxmlformats.org/spreadsheetml/2006/main" count="318" uniqueCount="161">
  <si>
    <t>spolu</t>
  </si>
  <si>
    <t>diffPTS1</t>
  </si>
  <si>
    <t>diffPTS2 - diffPTS1</t>
  </si>
  <si>
    <t>diffPTS3 - diffPTS2</t>
  </si>
  <si>
    <t>diffPTS4 - diffPTS3</t>
  </si>
  <si>
    <t>diffPTS</t>
  </si>
  <si>
    <t>home win ratio:</t>
  </si>
  <si>
    <t>away win ratio:</t>
  </si>
  <si>
    <t>matches</t>
  </si>
  <si>
    <t>home wins</t>
  </si>
  <si>
    <t>away wins</t>
  </si>
  <si>
    <t>home HT wins:</t>
  </si>
  <si>
    <t>away HT wins:</t>
  </si>
  <si>
    <t>HT draws:</t>
  </si>
  <si>
    <t>HT/FT</t>
  </si>
  <si>
    <t>W</t>
  </si>
  <si>
    <t>D</t>
  </si>
  <si>
    <t>A</t>
  </si>
  <si>
    <t>sum</t>
  </si>
  <si>
    <t>HT/FT win:</t>
  </si>
  <si>
    <t>zápasov vyhrá tím, ktorý vyhrával po polčase</t>
  </si>
  <si>
    <t>H avg pts:</t>
  </si>
  <si>
    <t>A avg pts:</t>
  </si>
  <si>
    <t>avg pts:</t>
  </si>
  <si>
    <t>st. dev.</t>
  </si>
  <si>
    <t>time</t>
  </si>
  <si>
    <t>lead</t>
  </si>
  <si>
    <t>9/10</t>
  </si>
  <si>
    <t>?</t>
  </si>
  <si>
    <t>(-..., -7&gt;</t>
  </si>
  <si>
    <t>(-7; -5&gt;</t>
  </si>
  <si>
    <t>(-5; -3&gt;</t>
  </si>
  <si>
    <t>(-3; -1&gt;</t>
  </si>
  <si>
    <t>&lt;1, 3)</t>
  </si>
  <si>
    <t>{..., -7}</t>
  </si>
  <si>
    <t>{-6, -5}</t>
  </si>
  <si>
    <t>{-4, -3}</t>
  </si>
  <si>
    <t>{-2, -1}</t>
  </si>
  <si>
    <t>{0}</t>
  </si>
  <si>
    <t>{1,2}</t>
  </si>
  <si>
    <t>{3,4}</t>
  </si>
  <si>
    <t>{5,6}</t>
  </si>
  <si>
    <t>{7,...}</t>
  </si>
  <si>
    <t>35/55</t>
  </si>
  <si>
    <t>46/90</t>
  </si>
  <si>
    <t>t = 1/4</t>
  </si>
  <si>
    <t>t = 1/2</t>
  </si>
  <si>
    <t>t = 3/4</t>
  </si>
  <si>
    <t>v prípade remízy:</t>
  </si>
  <si>
    <t>{-4, -3, -2, -1}</t>
  </si>
  <si>
    <t>{1,2,3,4}</t>
  </si>
  <si>
    <t>&lt;=-5</t>
  </si>
  <si>
    <t>&gt;=5</t>
  </si>
  <si>
    <t>výsledok 4Q</t>
  </si>
  <si>
    <t>å</t>
  </si>
  <si>
    <t>z toho wins</t>
  </si>
  <si>
    <t>%</t>
  </si>
  <si>
    <t>PTS diff - NBA</t>
  </si>
  <si>
    <t>quarter</t>
  </si>
  <si>
    <t>variable</t>
  </si>
  <si>
    <t>avg</t>
  </si>
  <si>
    <t>variance</t>
  </si>
  <si>
    <t>PTS diff - Euroleague</t>
  </si>
  <si>
    <t>STATS - NBA</t>
  </si>
  <si>
    <t>STATS - Euroleague</t>
  </si>
  <si>
    <t>NBA</t>
  </si>
  <si>
    <t>Euroleague</t>
  </si>
  <si>
    <t>76/245</t>
  </si>
  <si>
    <t>30/84</t>
  </si>
  <si>
    <t>49/112</t>
  </si>
  <si>
    <t>61/110</t>
  </si>
  <si>
    <t>61/119</t>
  </si>
  <si>
    <t>83/118</t>
  </si>
  <si>
    <t>63/95</t>
  </si>
  <si>
    <t>221/292</t>
  </si>
  <si>
    <t>679/1230</t>
  </si>
  <si>
    <t>59/285</t>
  </si>
  <si>
    <t>23/68</t>
  </si>
  <si>
    <t>37/86</t>
  </si>
  <si>
    <t>54/99</t>
  </si>
  <si>
    <t>30/58</t>
  </si>
  <si>
    <t>57/93</t>
  </si>
  <si>
    <t>48/82</t>
  </si>
  <si>
    <t>68/94</t>
  </si>
  <si>
    <t>303/365</t>
  </si>
  <si>
    <t>33/321</t>
  </si>
  <si>
    <t>14/53</t>
  </si>
  <si>
    <t>19/77</t>
  </si>
  <si>
    <t>45/90</t>
  </si>
  <si>
    <t>26/45</t>
  </si>
  <si>
    <t>49/74</t>
  </si>
  <si>
    <t>58/93</t>
  </si>
  <si>
    <t>42/55</t>
  </si>
  <si>
    <t>393/422</t>
  </si>
  <si>
    <t>33/61</t>
  </si>
  <si>
    <t>704/1148</t>
  </si>
  <si>
    <t>49/141</t>
  </si>
  <si>
    <t>39/88</t>
  </si>
  <si>
    <t>47/107</t>
  </si>
  <si>
    <t>70/125</t>
  </si>
  <si>
    <t>40/68</t>
  </si>
  <si>
    <t>86/139</t>
  </si>
  <si>
    <t>95/130</t>
  </si>
  <si>
    <t>82/109</t>
  </si>
  <si>
    <t>196/241</t>
  </si>
  <si>
    <t>49/217</t>
  </si>
  <si>
    <t>27/68</t>
  </si>
  <si>
    <t>29/74</t>
  </si>
  <si>
    <t>28/43</t>
  </si>
  <si>
    <t>63/106</t>
  </si>
  <si>
    <t>77/100</t>
  </si>
  <si>
    <t>61/84</t>
  </si>
  <si>
    <t>324/366</t>
  </si>
  <si>
    <t>26/226</t>
  </si>
  <si>
    <t>16/57</t>
  </si>
  <si>
    <t>24/60</t>
  </si>
  <si>
    <t>32/78</t>
  </si>
  <si>
    <t>21/38</t>
  </si>
  <si>
    <t>49/88</t>
  </si>
  <si>
    <t>57/89</t>
  </si>
  <si>
    <t>53/68</t>
  </si>
  <si>
    <t>426/444</t>
  </si>
  <si>
    <t>model (hore) vs reálne dáta (dole) - NBA</t>
  </si>
  <si>
    <t>model (hore) vs reálne dáta (dole) - EUROLIGA</t>
  </si>
  <si>
    <t>mí = 2,04; sigma = 13,612 - NBAexpected</t>
  </si>
  <si>
    <t>REÁLNE DÁTA - NBA</t>
  </si>
  <si>
    <t>mí = 2,04; sigma = 13,612 (korekcia) - NBA</t>
  </si>
  <si>
    <t>mí = 3,84; sigma = 13,04 - EUROLIGAexpected</t>
  </si>
  <si>
    <t>REÁLNE DÁTA - EUROLIGA</t>
  </si>
  <si>
    <t>mí = 3,84; sigma = 13,04 (korekcia) - EUROLIGA</t>
  </si>
  <si>
    <t>TEST NORMALITY - NBA</t>
  </si>
  <si>
    <t>KOR. KOEFICIENTY</t>
  </si>
  <si>
    <t>TEST NORMALITY - EU</t>
  </si>
  <si>
    <t>korelacny koeficient 1 a 2: -0.06409238464924182 chyba: 0.029479074813477706</t>
  </si>
  <si>
    <t>korelacny koeficient 1 a 3: -0.06493294673146155 chyba: 0.02947746961721494</t>
  </si>
  <si>
    <t>korelacny koeficient 1 a 4: 0.02307974535288969 chyba: 0.02953194096158436</t>
  </si>
  <si>
    <t>korelacny koeficient 2 a 3: -0.009951465902661449 chyba: 0.02953834683876503</t>
  </si>
  <si>
    <t>korelacny koeficient 2 a 4: -0.015175116687961569 chyba: 0.029536408092320218</t>
  </si>
  <si>
    <t>korelacny koeficient 3 a 4: -0.11482527143500303 chyba: 0.02934442452104143</t>
  </si>
  <si>
    <t>korelacny koeficient 1 a 2: -0.09868284083283138 chyba: 0.028397218760411718</t>
  </si>
  <si>
    <t>korelacny koeficient 1 a 3: -0.034354581474176825 chyba: 0.028519662380359377</t>
  </si>
  <si>
    <t>korelacny koeficient 1 a 4: -0.11992988729382907 chyba: 0.02833054115258158</t>
  </si>
  <si>
    <t>korelacny koeficient 2 a 3: -0.07146242728212246 chyba: 0.028463547770779883</t>
  </si>
  <si>
    <t>korelacny koeficient 2 a 4: -0.09527922806652649 chyba: 0.028406682884333404</t>
  </si>
  <si>
    <t>korelacny koeficient 3 a 4: -0.14020672142823581 chyba: 0.028254630868697252</t>
  </si>
  <si>
    <t>kor. stvrtina 1: 0.44600022190879646 chyba: 0.02554111142865232</t>
  </si>
  <si>
    <t>kor. stvrtina 2: 0.4234982910675758 chyba: 0.025851133542376198</t>
  </si>
  <si>
    <t>kor. stvrtina 3: 0.482126776077235 chyba: 0.025000875746703236</t>
  </si>
  <si>
    <t>kor. stvrtina 4: 0.3433341397399124 chyba: 0.02680186786250961</t>
  </si>
  <si>
    <t>kor. stvrtina 1: 0.46983812766825694 chyba: 0.02607634337737402</t>
  </si>
  <si>
    <t>kor. stvrtina 2: 0.4843042399487493 chyba: 0.02584436914255541</t>
  </si>
  <si>
    <t>kor. stvrtina 3: 0.426161245239587 chyba: 0.026723106607396914</t>
  </si>
  <si>
    <t>kor. stvrtina 4: 0.4924010518970291 chyba: 0.025710517674714987</t>
  </si>
  <si>
    <t>mí = 9,49; sigma = 22,883 - EUROLIGAexpected</t>
  </si>
  <si>
    <t>mí = 6,88; sigma = 26,525 - NBAexpected</t>
  </si>
  <si>
    <t>odhadom</t>
  </si>
  <si>
    <t>pomocou odhadov</t>
  </si>
  <si>
    <t>mí = 9,49; sigma = 22,883 - EUROLIGAexpected (rezidua real - exp)</t>
  </si>
  <si>
    <t>mí = 6,88; sigma = 26,525 - NBAexpected (rezidua real - exp)</t>
  </si>
  <si>
    <t>relatívna chyba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</si>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</sst>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6" formatCode="0.000%"/>
    <numFmt numFmtId="167" formatCode="0.0%"/>
    <numFmt numFmtId="168" formatCode="0.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166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quotePrefix="1" applyFont="1" applyFill="1" applyBorder="1" applyAlignment="1">
      <alignment horizontal="center" vertical="center"/>
    </xf>
    <xf numFmtId="12" fontId="2" fillId="2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0" fillId="0" borderId="6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3" xfId="1" applyNumberFormat="1" applyFont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0" fillId="0" borderId="5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167" fontId="0" fillId="0" borderId="6" xfId="1" applyNumberFormat="1" applyFont="1" applyBorder="1" applyAlignment="1">
      <alignment horizontal="center" vertical="center"/>
    </xf>
    <xf numFmtId="167" fontId="0" fillId="0" borderId="7" xfId="1" applyNumberFormat="1" applyFont="1" applyBorder="1" applyAlignment="1">
      <alignment horizontal="center" vertical="center"/>
    </xf>
    <xf numFmtId="167" fontId="0" fillId="0" borderId="8" xfId="1" applyNumberFormat="1" applyFont="1" applyBorder="1" applyAlignment="1">
      <alignment horizontal="center" vertical="center"/>
    </xf>
    <xf numFmtId="167" fontId="0" fillId="0" borderId="9" xfId="1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2" fontId="0" fillId="0" borderId="0" xfId="0" applyNumberFormat="1"/>
    <xf numFmtId="168" fontId="0" fillId="0" borderId="6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2" fontId="2" fillId="2" borderId="1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quotePrefix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2">
    <cellStyle name="Normálna" xfId="0" builtinId="0"/>
    <cellStyle name="Percentá" xfId="1" builtinId="5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Porovnanie modelu a reálnych dát pre t</a:t>
            </a:r>
            <a:r>
              <a:rPr lang="sk-SK" baseline="0"/>
              <a:t> = 1/4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Hárok1!$AQ$3:$AY$3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Hárok1!$AQ$5:$AY$5</c:f>
              <c:numCache>
                <c:formatCode>0.000</c:formatCode>
                <c:ptCount val="9"/>
                <c:pt idx="0">
                  <c:v>0.32146461953072297</c:v>
                </c:pt>
                <c:pt idx="1">
                  <c:v>0.38439782002415901</c:v>
                </c:pt>
                <c:pt idx="2">
                  <c:v>0.45054121215482201</c:v>
                </c:pt>
                <c:pt idx="3">
                  <c:v>0.51809078668331898</c:v>
                </c:pt>
                <c:pt idx="4">
                  <c:v>0.55179222047358001</c:v>
                </c:pt>
                <c:pt idx="5">
                  <c:v>0.58512372904700705</c:v>
                </c:pt>
                <c:pt idx="6">
                  <c:v>0.64976106639922704</c:v>
                </c:pt>
                <c:pt idx="7">
                  <c:v>0.71032417240554901</c:v>
                </c:pt>
                <c:pt idx="8">
                  <c:v>0.76546360890838905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4-4FE4-8814-A6D680F1FBF4}"/>
            </c:ext>
          </c:extLst>
        </c:ser>
        <c:ser>
          <c:idx val="1"/>
          <c:order val="1"/>
          <c:tx>
            <c:v>reálne dáta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Hárok1!$AQ$3:$AY$3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Hárok1!$AQ$6:$AY$6</c:f>
              <c:numCache>
                <c:formatCode>0.000</c:formatCode>
                <c:ptCount val="9"/>
                <c:pt idx="0">
                  <c:v>0.31020408163265306</c:v>
                </c:pt>
                <c:pt idx="1">
                  <c:v>0.35714285714285715</c:v>
                </c:pt>
                <c:pt idx="2">
                  <c:v>0.4375</c:v>
                </c:pt>
                <c:pt idx="3">
                  <c:v>0.55454545454545456</c:v>
                </c:pt>
                <c:pt idx="4">
                  <c:v>0.63636363636363635</c:v>
                </c:pt>
                <c:pt idx="5">
                  <c:v>0.51260504201680668</c:v>
                </c:pt>
                <c:pt idx="6">
                  <c:v>0.70338983050847459</c:v>
                </c:pt>
                <c:pt idx="7">
                  <c:v>0.66315789473684206</c:v>
                </c:pt>
                <c:pt idx="8">
                  <c:v>0.75684931506849318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54-4FE4-8814-A6D680F1FBF4}"/>
            </c:ext>
          </c:extLst>
        </c:ser>
        <c:ser>
          <c:idx val="2"/>
          <c:order val="2"/>
          <c:tx>
            <c:v>model (odhad)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Hárok1!$AQ$3:$AY$3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Hárok1!$AQ$4:$AY$4</c:f>
              <c:numCache>
                <c:formatCode>0.000</c:formatCode>
                <c:ptCount val="9"/>
                <c:pt idx="0">
                  <c:v>0.46808741819330202</c:v>
                </c:pt>
                <c:pt idx="1">
                  <c:v>0.50278696347019902</c:v>
                </c:pt>
                <c:pt idx="2">
                  <c:v>0.53746542329575198</c:v>
                </c:pt>
                <c:pt idx="3">
                  <c:v>0.57186125793895803</c:v>
                </c:pt>
                <c:pt idx="4">
                  <c:v>0.58887304673996599</c:v>
                </c:pt>
                <c:pt idx="5">
                  <c:v>0.60571930763573201</c:v>
                </c:pt>
                <c:pt idx="6">
                  <c:v>0.63879645574807697</c:v>
                </c:pt>
                <c:pt idx="7">
                  <c:v>0.67086684357488702</c:v>
                </c:pt>
                <c:pt idx="8">
                  <c:v>0.70172645120688504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9-4000-93A5-EA067C669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477519"/>
        <c:axId val="1572479183"/>
      </c:lineChart>
      <c:catAx>
        <c:axId val="1572477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Náskok</a:t>
                </a:r>
                <a:r>
                  <a:rPr lang="sk-SK" baseline="0"/>
                  <a:t> domáceho tímu</a:t>
                </a:r>
                <a:endParaRPr lang="sk-SK"/>
              </a:p>
            </c:rich>
          </c:tx>
          <c:layout>
            <c:manualLayout>
              <c:xMode val="edge"/>
              <c:yMode val="edge"/>
              <c:x val="0.46811262330937248"/>
              <c:y val="0.566083219856440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72479183"/>
        <c:crosses val="autoZero"/>
        <c:auto val="1"/>
        <c:lblAlgn val="ctr"/>
        <c:lblOffset val="100"/>
        <c:noMultiLvlLbl val="0"/>
      </c:catAx>
      <c:valAx>
        <c:axId val="15724791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Pravdepodobnosť</a:t>
                </a:r>
                <a:r>
                  <a:rPr lang="sk-SK" baseline="0"/>
                  <a:t> výhry dom. tímu</a:t>
                </a:r>
              </a:p>
            </c:rich>
          </c:tx>
          <c:layout>
            <c:manualLayout>
              <c:xMode val="edge"/>
              <c:yMode val="edge"/>
              <c:x val="8.1553393070658634E-2"/>
              <c:y val="4.99243053848524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72477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</a:t>
            </a:r>
            <a:r>
              <a:rPr lang="sk-SK" baseline="0"/>
              <a:t> = 1/2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Hárok1!$AQ$3:$AY$3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Hárok1!$AQ$7:$AY$7</c:f>
              <c:numCache>
                <c:formatCode>0.000</c:formatCode>
                <c:ptCount val="9"/>
                <c:pt idx="0">
                  <c:v>0.26731606596086899</c:v>
                </c:pt>
                <c:pt idx="1">
                  <c:v>0.339742997911399</c:v>
                </c:pt>
                <c:pt idx="2">
                  <c:v>0.41863813810605599</c:v>
                </c:pt>
                <c:pt idx="3">
                  <c:v>0.50096036337792405</c:v>
                </c:pt>
                <c:pt idx="4">
                  <c:v>0.54232793513586197</c:v>
                </c:pt>
                <c:pt idx="5">
                  <c:v>0.58324156938146099</c:v>
                </c:pt>
                <c:pt idx="6">
                  <c:v>0.66201883341190904</c:v>
                </c:pt>
                <c:pt idx="7">
                  <c:v>0.73426550161556603</c:v>
                </c:pt>
                <c:pt idx="8">
                  <c:v>0.79773300481237697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C-4DE3-BDA5-E1EC1F8DC947}"/>
            </c:ext>
          </c:extLst>
        </c:ser>
        <c:ser>
          <c:idx val="1"/>
          <c:order val="1"/>
          <c:tx>
            <c:v>reálne dáta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Hárok1!$AQ$3:$AY$3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Hárok1!$AQ$8:$AY$8</c:f>
              <c:numCache>
                <c:formatCode>0.000</c:formatCode>
                <c:ptCount val="9"/>
                <c:pt idx="0">
                  <c:v>0.20701754385964913</c:v>
                </c:pt>
                <c:pt idx="1">
                  <c:v>0.33823529411764708</c:v>
                </c:pt>
                <c:pt idx="2">
                  <c:v>0.43023255813953487</c:v>
                </c:pt>
                <c:pt idx="3">
                  <c:v>0.54545454545454541</c:v>
                </c:pt>
                <c:pt idx="4">
                  <c:v>0.51724137931034486</c:v>
                </c:pt>
                <c:pt idx="5">
                  <c:v>0.61290322580645162</c:v>
                </c:pt>
                <c:pt idx="6">
                  <c:v>0.58536585365853655</c:v>
                </c:pt>
                <c:pt idx="7">
                  <c:v>0.72340425531914898</c:v>
                </c:pt>
                <c:pt idx="8">
                  <c:v>0.83013698630136989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C-4DE3-BDA5-E1EC1F8DC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658463"/>
        <c:axId val="1235650559"/>
      </c:lineChart>
      <c:catAx>
        <c:axId val="123565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35650559"/>
        <c:crosses val="autoZero"/>
        <c:auto val="1"/>
        <c:lblAlgn val="ctr"/>
        <c:lblOffset val="100"/>
        <c:noMultiLvlLbl val="0"/>
      </c:catAx>
      <c:valAx>
        <c:axId val="12356505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2356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</a:t>
            </a:r>
            <a:r>
              <a:rPr lang="sk-SK" baseline="0"/>
              <a:t> = 3/4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Hárok1!$AQ$3:$AY$3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Hárok1!$AQ$9:$AY$9</c:f>
              <c:numCache>
                <c:formatCode>0.000</c:formatCode>
                <c:ptCount val="9"/>
                <c:pt idx="0">
                  <c:v>0.17021337780086901</c:v>
                </c:pt>
                <c:pt idx="1">
                  <c:v>0.25479743148758</c:v>
                </c:pt>
                <c:pt idx="2">
                  <c:v>0.357326210710048</c:v>
                </c:pt>
                <c:pt idx="3">
                  <c:v>0.47139596443281101</c:v>
                </c:pt>
                <c:pt idx="4">
                  <c:v>0.52995853517176095</c:v>
                </c:pt>
                <c:pt idx="5">
                  <c:v>0.58787905778004401</c:v>
                </c:pt>
                <c:pt idx="6">
                  <c:v>0.69705400971322296</c:v>
                </c:pt>
                <c:pt idx="7">
                  <c:v>0.79097241188969702</c:v>
                </c:pt>
                <c:pt idx="8">
                  <c:v>0.86512829371058497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2-44A4-B496-47E3F777BF09}"/>
            </c:ext>
          </c:extLst>
        </c:ser>
        <c:ser>
          <c:idx val="1"/>
          <c:order val="1"/>
          <c:tx>
            <c:v>reálne dáta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Hárok1!$AQ$3:$AY$3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Hárok1!$AQ$10:$AY$10</c:f>
              <c:numCache>
                <c:formatCode>0.000</c:formatCode>
                <c:ptCount val="9"/>
                <c:pt idx="0">
                  <c:v>0.10280373831775701</c:v>
                </c:pt>
                <c:pt idx="1">
                  <c:v>0.26415094339622641</c:v>
                </c:pt>
                <c:pt idx="2">
                  <c:v>0.24675324675324675</c:v>
                </c:pt>
                <c:pt idx="3">
                  <c:v>0.5</c:v>
                </c:pt>
                <c:pt idx="4">
                  <c:v>0.57777777777777772</c:v>
                </c:pt>
                <c:pt idx="5">
                  <c:v>0.66216216216216217</c:v>
                </c:pt>
                <c:pt idx="6">
                  <c:v>0.62365591397849462</c:v>
                </c:pt>
                <c:pt idx="7">
                  <c:v>0.76363636363636367</c:v>
                </c:pt>
                <c:pt idx="8">
                  <c:v>0.93127962085308058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2-44A4-B496-47E3F777B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909263"/>
        <c:axId val="1582912175"/>
      </c:lineChart>
      <c:catAx>
        <c:axId val="158290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82912175"/>
        <c:crosses val="autoZero"/>
        <c:auto val="1"/>
        <c:lblAlgn val="ctr"/>
        <c:lblOffset val="100"/>
        <c:noMultiLvlLbl val="0"/>
      </c:catAx>
      <c:valAx>
        <c:axId val="158291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58290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</a:t>
            </a:r>
            <a:r>
              <a:rPr lang="sk-SK" baseline="0"/>
              <a:t> = 1/4 (EL)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Hárok1!$AQ$12:$AY$12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Hárok1!$AQ$13:$AY$13</c:f>
              <c:numCache>
                <c:formatCode>0.000</c:formatCode>
                <c:ptCount val="9"/>
                <c:pt idx="0">
                  <c:v>0.35762306596632398</c:v>
                </c:pt>
                <c:pt idx="1">
                  <c:v>0.42553250358352002</c:v>
                </c:pt>
                <c:pt idx="2">
                  <c:v>0.495731425731604</c:v>
                </c:pt>
                <c:pt idx="3">
                  <c:v>0.56606312001885095</c:v>
                </c:pt>
                <c:pt idx="4">
                  <c:v>0.60059587656471902</c:v>
                </c:pt>
                <c:pt idx="5">
                  <c:v>0.63435861255204595</c:v>
                </c:pt>
                <c:pt idx="6">
                  <c:v>0.69863527616146703</c:v>
                </c:pt>
                <c:pt idx="7">
                  <c:v>0.75726730553878796</c:v>
                </c:pt>
                <c:pt idx="8">
                  <c:v>0.80910394424718302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B-4700-AA43-498EF122C584}"/>
            </c:ext>
          </c:extLst>
        </c:ser>
        <c:ser>
          <c:idx val="1"/>
          <c:order val="1"/>
          <c:tx>
            <c:v>reálne dáta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Hárok1!$AQ$12:$AY$12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Hárok1!$AQ$14:$AY$14</c:f>
              <c:numCache>
                <c:formatCode>0.000</c:formatCode>
                <c:ptCount val="9"/>
                <c:pt idx="0">
                  <c:v>0.3475177304964539</c:v>
                </c:pt>
                <c:pt idx="1">
                  <c:v>0.44318181818181818</c:v>
                </c:pt>
                <c:pt idx="2">
                  <c:v>0.43925233644859812</c:v>
                </c:pt>
                <c:pt idx="3">
                  <c:v>0.56000000000000005</c:v>
                </c:pt>
                <c:pt idx="4">
                  <c:v>0.58823529411764708</c:v>
                </c:pt>
                <c:pt idx="5">
                  <c:v>0.61870503597122306</c:v>
                </c:pt>
                <c:pt idx="6">
                  <c:v>0.73076923076923073</c:v>
                </c:pt>
                <c:pt idx="7">
                  <c:v>0.75229357798165142</c:v>
                </c:pt>
                <c:pt idx="8">
                  <c:v>0.81327800829875518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B-4700-AA43-498EF122C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540752"/>
        <c:axId val="1986547824"/>
      </c:lineChart>
      <c:catAx>
        <c:axId val="198654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86547824"/>
        <c:crosses val="autoZero"/>
        <c:auto val="1"/>
        <c:lblAlgn val="ctr"/>
        <c:lblOffset val="100"/>
        <c:noMultiLvlLbl val="0"/>
      </c:catAx>
      <c:valAx>
        <c:axId val="1986547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8654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</a:t>
            </a:r>
            <a:r>
              <a:rPr lang="sk-SK" baseline="0"/>
              <a:t> = 1/2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Hárok1!$AQ$12:$AY$12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Hárok1!$AQ$15:$AY$15</c:f>
              <c:numCache>
                <c:formatCode>0.000</c:formatCode>
                <c:ptCount val="9"/>
                <c:pt idx="0">
                  <c:v>0.29086168979063698</c:v>
                </c:pt>
                <c:pt idx="1">
                  <c:v>0.36918371573563302</c:v>
                </c:pt>
                <c:pt idx="2">
                  <c:v>0.45336544481704899</c:v>
                </c:pt>
                <c:pt idx="3">
                  <c:v>0.53970481129206205</c:v>
                </c:pt>
                <c:pt idx="4">
                  <c:v>0.58243104326482498</c:v>
                </c:pt>
                <c:pt idx="5">
                  <c:v>0.62420486202013903</c:v>
                </c:pt>
                <c:pt idx="6">
                  <c:v>0.70312033609455404</c:v>
                </c:pt>
                <c:pt idx="7">
                  <c:v>0.77344771513136301</c:v>
                </c:pt>
                <c:pt idx="8">
                  <c:v>0.83325357158981295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A-44CD-83E2-D6FA60E5EBFA}"/>
            </c:ext>
          </c:extLst>
        </c:ser>
        <c:ser>
          <c:idx val="1"/>
          <c:order val="1"/>
          <c:tx>
            <c:v>reálne dáta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Hárok1!$AQ$12:$AY$12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Hárok1!$AQ$16:$AY$16</c:f>
              <c:numCache>
                <c:formatCode>0.000</c:formatCode>
                <c:ptCount val="9"/>
                <c:pt idx="0">
                  <c:v>0.22580645161290322</c:v>
                </c:pt>
                <c:pt idx="1">
                  <c:v>0.39705882352941174</c:v>
                </c:pt>
                <c:pt idx="2">
                  <c:v>0.39189189189189189</c:v>
                </c:pt>
                <c:pt idx="3">
                  <c:v>0.51111111111111107</c:v>
                </c:pt>
                <c:pt idx="4">
                  <c:v>0.65116279069767447</c:v>
                </c:pt>
                <c:pt idx="5">
                  <c:v>0.59433962264150941</c:v>
                </c:pt>
                <c:pt idx="6">
                  <c:v>0.77</c:v>
                </c:pt>
                <c:pt idx="7">
                  <c:v>0.72619047619047616</c:v>
                </c:pt>
                <c:pt idx="8">
                  <c:v>0.88524590163934425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3A-44CD-83E2-D6FA60E5E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543248"/>
        <c:axId val="1986545328"/>
      </c:lineChart>
      <c:catAx>
        <c:axId val="198654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86545328"/>
        <c:crosses val="autoZero"/>
        <c:auto val="1"/>
        <c:lblAlgn val="ctr"/>
        <c:lblOffset val="100"/>
        <c:noMultiLvlLbl val="0"/>
      </c:catAx>
      <c:valAx>
        <c:axId val="19865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8654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</a:t>
            </a:r>
            <a:r>
              <a:rPr lang="sk-SK" baseline="0"/>
              <a:t> = 3/4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Hárok1!$AQ$12:$AY$12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Hárok1!$AQ$17:$AY$17</c:f>
              <c:numCache>
                <c:formatCode>0.000</c:formatCode>
                <c:ptCount val="9"/>
                <c:pt idx="0">
                  <c:v>0.177169132948855</c:v>
                </c:pt>
                <c:pt idx="1">
                  <c:v>0.267783392658276</c:v>
                </c:pt>
                <c:pt idx="2">
                  <c:v>0.37719572942014401</c:v>
                </c:pt>
                <c:pt idx="3">
                  <c:v>0.49753550614689601</c:v>
                </c:pt>
                <c:pt idx="4">
                  <c:v>0.55849739852005498</c:v>
                </c:pt>
                <c:pt idx="5">
                  <c:v>0.61810170148327004</c:v>
                </c:pt>
                <c:pt idx="6">
                  <c:v>0.72813277845060997</c:v>
                </c:pt>
                <c:pt idx="7">
                  <c:v>0.81960270899707799</c:v>
                </c:pt>
                <c:pt idx="8">
                  <c:v>0.888867728212133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A-4632-8EE3-C5BB33A794F5}"/>
            </c:ext>
          </c:extLst>
        </c:ser>
        <c:ser>
          <c:idx val="1"/>
          <c:order val="1"/>
          <c:tx>
            <c:v>reálne dáta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Hárok1!$AQ$12:$AY$12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Hárok1!$AQ$18:$AY$18</c:f>
              <c:numCache>
                <c:formatCode>0.000</c:formatCode>
                <c:ptCount val="9"/>
                <c:pt idx="0">
                  <c:v>0.11504424778761062</c:v>
                </c:pt>
                <c:pt idx="1">
                  <c:v>0.2807017543859649</c:v>
                </c:pt>
                <c:pt idx="2">
                  <c:v>0.4</c:v>
                </c:pt>
                <c:pt idx="3">
                  <c:v>0.41025641025641024</c:v>
                </c:pt>
                <c:pt idx="4">
                  <c:v>0.55263157894736847</c:v>
                </c:pt>
                <c:pt idx="5">
                  <c:v>0.55681818181818177</c:v>
                </c:pt>
                <c:pt idx="6">
                  <c:v>0.6404494382022472</c:v>
                </c:pt>
                <c:pt idx="7">
                  <c:v>0.77941176470588236</c:v>
                </c:pt>
                <c:pt idx="8">
                  <c:v>0.95945945945945943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A-4632-8EE3-C5BB33A79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542832"/>
        <c:axId val="1986544496"/>
      </c:lineChart>
      <c:catAx>
        <c:axId val="198654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86544496"/>
        <c:crosses val="autoZero"/>
        <c:auto val="1"/>
        <c:lblAlgn val="ctr"/>
        <c:lblOffset val="100"/>
        <c:noMultiLvlLbl val="0"/>
      </c:catAx>
      <c:valAx>
        <c:axId val="1986544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8654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Euroliga, t = 1/4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Hárok1!$AF$54:$AN$54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Hárok1!$AF$46:$AN$46</c:f>
              <c:numCache>
                <c:formatCode>0.000</c:formatCode>
                <c:ptCount val="9"/>
                <c:pt idx="0">
                  <c:v>0.50239541170922897</c:v>
                </c:pt>
                <c:pt idx="1">
                  <c:v>0.54257586716580497</c:v>
                </c:pt>
                <c:pt idx="2">
                  <c:v>0.58232543082019705</c:v>
                </c:pt>
                <c:pt idx="3">
                  <c:v>0.62125058431320601</c:v>
                </c:pt>
                <c:pt idx="4">
                  <c:v>0.64028748635514499</c:v>
                </c:pt>
                <c:pt idx="5">
                  <c:v>0.65898249169712597</c:v>
                </c:pt>
                <c:pt idx="6">
                  <c:v>0.69518741596576805</c:v>
                </c:pt>
                <c:pt idx="7">
                  <c:v>0.72957542122770902</c:v>
                </c:pt>
                <c:pt idx="8">
                  <c:v>0.76190699039268595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9-49FD-ADC4-318050ED266B}"/>
            </c:ext>
          </c:extLst>
        </c:ser>
        <c:ser>
          <c:idx val="1"/>
          <c:order val="1"/>
          <c:tx>
            <c:v>reálne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Hárok1!$AF$54:$AN$54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Hárok1!$AF$27:$AN$27</c:f>
              <c:numCache>
                <c:formatCode>0.000</c:formatCode>
                <c:ptCount val="9"/>
                <c:pt idx="0">
                  <c:v>0.3475177304964539</c:v>
                </c:pt>
                <c:pt idx="1">
                  <c:v>0.44318181818181818</c:v>
                </c:pt>
                <c:pt idx="2">
                  <c:v>0.43925233644859812</c:v>
                </c:pt>
                <c:pt idx="3">
                  <c:v>0.56000000000000005</c:v>
                </c:pt>
                <c:pt idx="4">
                  <c:v>0.58823529411764708</c:v>
                </c:pt>
                <c:pt idx="5">
                  <c:v>0.61870503597122306</c:v>
                </c:pt>
                <c:pt idx="6">
                  <c:v>0.73076923076923073</c:v>
                </c:pt>
                <c:pt idx="7">
                  <c:v>0.75229357798165142</c:v>
                </c:pt>
                <c:pt idx="8">
                  <c:v>0.81327800829875518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9-49FD-ADC4-318050ED2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16335"/>
        <c:axId val="77117167"/>
      </c:lineChart>
      <c:catAx>
        <c:axId val="7711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17167"/>
        <c:crosses val="autoZero"/>
        <c:auto val="1"/>
        <c:lblAlgn val="ctr"/>
        <c:lblOffset val="100"/>
        <c:noMultiLvlLbl val="0"/>
      </c:catAx>
      <c:valAx>
        <c:axId val="7711716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1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NBA,</a:t>
            </a:r>
            <a:r>
              <a:rPr lang="sk-SK" baseline="0"/>
              <a:t> t = 1/4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Hárok1!$U$44:$AC$44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Hárok1!$U$46:$AC$46</c:f>
              <c:numCache>
                <c:formatCode>0.000</c:formatCode>
                <c:ptCount val="9"/>
                <c:pt idx="0">
                  <c:v>0.46808741819330202</c:v>
                </c:pt>
                <c:pt idx="1">
                  <c:v>0.50278696347019902</c:v>
                </c:pt>
                <c:pt idx="2">
                  <c:v>0.53746542329575198</c:v>
                </c:pt>
                <c:pt idx="3">
                  <c:v>0.57186125793895803</c:v>
                </c:pt>
                <c:pt idx="4">
                  <c:v>0.58887304673996599</c:v>
                </c:pt>
                <c:pt idx="5">
                  <c:v>0.60571930763573201</c:v>
                </c:pt>
                <c:pt idx="6">
                  <c:v>0.63879645574807697</c:v>
                </c:pt>
                <c:pt idx="7">
                  <c:v>0.67086684357488702</c:v>
                </c:pt>
                <c:pt idx="8">
                  <c:v>0.70172645120688504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A-4D81-9E2F-776AC0D66298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Hárok1!$U$44:$AC$44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Hárok1!$U$27:$AC$27</c:f>
              <c:numCache>
                <c:formatCode>0.000</c:formatCode>
                <c:ptCount val="9"/>
                <c:pt idx="0">
                  <c:v>0.31020408163265306</c:v>
                </c:pt>
                <c:pt idx="1">
                  <c:v>0.35714285714285715</c:v>
                </c:pt>
                <c:pt idx="2">
                  <c:v>0.4375</c:v>
                </c:pt>
                <c:pt idx="3">
                  <c:v>0.55454545454545456</c:v>
                </c:pt>
                <c:pt idx="4">
                  <c:v>0.63636363636363635</c:v>
                </c:pt>
                <c:pt idx="5">
                  <c:v>0.51260504201680668</c:v>
                </c:pt>
                <c:pt idx="6">
                  <c:v>0.70338983050847459</c:v>
                </c:pt>
                <c:pt idx="7">
                  <c:v>0.66315789473684206</c:v>
                </c:pt>
                <c:pt idx="8">
                  <c:v>0.75684931506849318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A-4D81-9E2F-776AC0D66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52943"/>
        <c:axId val="77151695"/>
      </c:lineChart>
      <c:catAx>
        <c:axId val="771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51695"/>
        <c:crosses val="autoZero"/>
        <c:auto val="1"/>
        <c:lblAlgn val="ctr"/>
        <c:lblOffset val="100"/>
        <c:noMultiLvlLbl val="0"/>
      </c:catAx>
      <c:valAx>
        <c:axId val="771516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5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NBA,</a:t>
            </a:r>
            <a:r>
              <a:rPr lang="sk-SK" baseline="0"/>
              <a:t> t = 1/2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Hárok1!$U$44:$AC$44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Hárok1!$U$47:$AC$47</c:f>
              <c:numCache>
                <c:formatCode>0.000</c:formatCode>
                <c:ptCount val="9"/>
                <c:pt idx="0">
                  <c:v>0.42473784135952303</c:v>
                </c:pt>
                <c:pt idx="1">
                  <c:v>0.46686384563578098</c:v>
                </c:pt>
                <c:pt idx="2">
                  <c:v>0.509364686901285</c:v>
                </c:pt>
                <c:pt idx="3">
                  <c:v>0.55175937023238397</c:v>
                </c:pt>
                <c:pt idx="4">
                  <c:v>0.572767130463258</c:v>
                </c:pt>
                <c:pt idx="5">
                  <c:v>0.59357049729665301</c:v>
                </c:pt>
                <c:pt idx="6">
                  <c:v>0.634340333195341</c:v>
                </c:pt>
                <c:pt idx="7">
                  <c:v>0.67364577316049601</c:v>
                </c:pt>
                <c:pt idx="8">
                  <c:v>0.71111139713169402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3-41E5-95B3-AF8C32992EF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Hárok1!$U$44:$AC$44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Hárok1!$U$28:$AC$28</c:f>
              <c:numCache>
                <c:formatCode>0.000</c:formatCode>
                <c:ptCount val="9"/>
                <c:pt idx="0">
                  <c:v>0.20701754385964913</c:v>
                </c:pt>
                <c:pt idx="1">
                  <c:v>0.33823529411764708</c:v>
                </c:pt>
                <c:pt idx="2">
                  <c:v>0.43023255813953487</c:v>
                </c:pt>
                <c:pt idx="3">
                  <c:v>0.54545454545454541</c:v>
                </c:pt>
                <c:pt idx="4">
                  <c:v>0.51724137931034486</c:v>
                </c:pt>
                <c:pt idx="5">
                  <c:v>0.61290322580645162</c:v>
                </c:pt>
                <c:pt idx="6">
                  <c:v>0.58536585365853655</c:v>
                </c:pt>
                <c:pt idx="7">
                  <c:v>0.72340425531914898</c:v>
                </c:pt>
                <c:pt idx="8">
                  <c:v>0.83013698630136989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23-41E5-95B3-AF8C32992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05103"/>
        <c:axId val="77105935"/>
      </c:lineChart>
      <c:catAx>
        <c:axId val="7710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05935"/>
        <c:crosses val="autoZero"/>
        <c:auto val="1"/>
        <c:lblAlgn val="ctr"/>
        <c:lblOffset val="100"/>
        <c:noMultiLvlLbl val="0"/>
      </c:catAx>
      <c:valAx>
        <c:axId val="771059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0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Euro,</a:t>
            </a:r>
            <a:r>
              <a:rPr lang="sk-SK" baseline="0"/>
              <a:t> t = 1/2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Hárok1!$AF$44:$AN$44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Hárok1!$AF$47:$AN$47</c:f>
              <c:numCache>
                <c:formatCode>0.000</c:formatCode>
                <c:ptCount val="9"/>
                <c:pt idx="0">
                  <c:v>0.44460653075953499</c:v>
                </c:pt>
                <c:pt idx="1">
                  <c:v>0.49373775281416798</c:v>
                </c:pt>
                <c:pt idx="2">
                  <c:v>0.54296427419943805</c:v>
                </c:pt>
                <c:pt idx="3">
                  <c:v>0.59153943288586297</c:v>
                </c:pt>
                <c:pt idx="4">
                  <c:v>0.61535658939264903</c:v>
                </c:pt>
                <c:pt idx="5">
                  <c:v>0.638746042322478</c:v>
                </c:pt>
                <c:pt idx="6">
                  <c:v>0.683927983853583</c:v>
                </c:pt>
                <c:pt idx="7">
                  <c:v>0.72651728058167198</c:v>
                </c:pt>
                <c:pt idx="8">
                  <c:v>0.76605481167148604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D-4E11-AD03-C05E9BC1E9C7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Hárok1!$AF$44:$AN$44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Hárok1!$AF$28:$AN$28</c:f>
              <c:numCache>
                <c:formatCode>0.000</c:formatCode>
                <c:ptCount val="9"/>
                <c:pt idx="0">
                  <c:v>0.22580645161290322</c:v>
                </c:pt>
                <c:pt idx="1">
                  <c:v>0.39705882352941174</c:v>
                </c:pt>
                <c:pt idx="2">
                  <c:v>0.39189189189189189</c:v>
                </c:pt>
                <c:pt idx="3">
                  <c:v>0.51111111111111107</c:v>
                </c:pt>
                <c:pt idx="4">
                  <c:v>0.65116279069767447</c:v>
                </c:pt>
                <c:pt idx="5">
                  <c:v>0.59433962264150941</c:v>
                </c:pt>
                <c:pt idx="6">
                  <c:v>0.77</c:v>
                </c:pt>
                <c:pt idx="7">
                  <c:v>0.72619047619047616</c:v>
                </c:pt>
                <c:pt idx="8">
                  <c:v>0.88524590163934425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D-4E11-AD03-C05E9BC1E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23407"/>
        <c:axId val="77137135"/>
      </c:lineChart>
      <c:catAx>
        <c:axId val="7712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37135"/>
        <c:crosses val="autoZero"/>
        <c:auto val="1"/>
        <c:lblAlgn val="ctr"/>
        <c:lblOffset val="100"/>
        <c:noMultiLvlLbl val="0"/>
      </c:catAx>
      <c:valAx>
        <c:axId val="7713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2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NBA,</a:t>
            </a:r>
            <a:r>
              <a:rPr lang="sk-SK" baseline="0"/>
              <a:t> t = 3/4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Hárok1!$U$44:$AC$44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Hárok1!$U$48:$AC$48</c:f>
              <c:numCache>
                <c:formatCode>0.000</c:formatCode>
                <c:ptCount val="9"/>
                <c:pt idx="0">
                  <c:v>0.34527823719343098</c:v>
                </c:pt>
                <c:pt idx="1">
                  <c:v>0.40233802939395202</c:v>
                </c:pt>
                <c:pt idx="2">
                  <c:v>0.461561736963647</c:v>
                </c:pt>
                <c:pt idx="3">
                  <c:v>0.52165192522249804</c:v>
                </c:pt>
                <c:pt idx="4">
                  <c:v>0.55159810871588499</c:v>
                </c:pt>
                <c:pt idx="5">
                  <c:v>0.58125300178333394</c:v>
                </c:pt>
                <c:pt idx="6">
                  <c:v>0.63904227210020303</c:v>
                </c:pt>
                <c:pt idx="7">
                  <c:v>0.69381733471488305</c:v>
                </c:pt>
                <c:pt idx="8">
                  <c:v>0.74457026451012698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3-486D-A00B-85DE8F92682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Hárok1!$U$44:$AC$44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Hárok1!$U$29:$AC$29</c:f>
              <c:numCache>
                <c:formatCode>0.000</c:formatCode>
                <c:ptCount val="9"/>
                <c:pt idx="0">
                  <c:v>0.10280373831775701</c:v>
                </c:pt>
                <c:pt idx="1">
                  <c:v>0.26415094339622641</c:v>
                </c:pt>
                <c:pt idx="2">
                  <c:v>0.24675324675324675</c:v>
                </c:pt>
                <c:pt idx="3">
                  <c:v>0.5</c:v>
                </c:pt>
                <c:pt idx="4">
                  <c:v>0.57777777777777772</c:v>
                </c:pt>
                <c:pt idx="5">
                  <c:v>0.66216216216216217</c:v>
                </c:pt>
                <c:pt idx="6">
                  <c:v>0.62365591397849462</c:v>
                </c:pt>
                <c:pt idx="7">
                  <c:v>0.76363636363636367</c:v>
                </c:pt>
                <c:pt idx="8">
                  <c:v>0.93127962085308058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33-486D-A00B-85DE8F926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83007"/>
        <c:axId val="70092575"/>
      </c:lineChart>
      <c:catAx>
        <c:axId val="7008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092575"/>
        <c:crosses val="autoZero"/>
        <c:auto val="1"/>
        <c:lblAlgn val="ctr"/>
        <c:lblOffset val="100"/>
        <c:noMultiLvlLbl val="0"/>
      </c:catAx>
      <c:valAx>
        <c:axId val="7009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08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Euro</a:t>
            </a:r>
            <a:r>
              <a:rPr lang="sk-SK" baseline="0"/>
              <a:t>, t = 3/4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Hárok1!$AF$44:$AN$44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Hárok1!$AF$48:$AN$48</c:f>
              <c:numCache>
                <c:formatCode>0.000</c:formatCode>
                <c:ptCount val="9"/>
                <c:pt idx="0">
                  <c:v>0.34295930009968101</c:v>
                </c:pt>
                <c:pt idx="1">
                  <c:v>0.40920130343712102</c:v>
                </c:pt>
                <c:pt idx="2">
                  <c:v>0.47814890020207901</c:v>
                </c:pt>
                <c:pt idx="3">
                  <c:v>0.547758426020583</c:v>
                </c:pt>
                <c:pt idx="4">
                  <c:v>0.58215125870027096</c:v>
                </c:pt>
                <c:pt idx="5">
                  <c:v>0.61592666678299501</c:v>
                </c:pt>
                <c:pt idx="6">
                  <c:v>0.68067958765865</c:v>
                </c:pt>
                <c:pt idx="7">
                  <c:v>0.740341957727083</c:v>
                </c:pt>
                <c:pt idx="8">
                  <c:v>0.79366384254183198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2-4987-9501-250C4DCE93CC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Hárok1!$AF$44:$AN$44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Hárok1!$AF$29:$AN$29</c:f>
              <c:numCache>
                <c:formatCode>0.000</c:formatCode>
                <c:ptCount val="9"/>
                <c:pt idx="0">
                  <c:v>0.11504424778761062</c:v>
                </c:pt>
                <c:pt idx="1">
                  <c:v>0.2807017543859649</c:v>
                </c:pt>
                <c:pt idx="2">
                  <c:v>0.4</c:v>
                </c:pt>
                <c:pt idx="3">
                  <c:v>0.41025641025641024</c:v>
                </c:pt>
                <c:pt idx="4">
                  <c:v>0.55263157894736847</c:v>
                </c:pt>
                <c:pt idx="5">
                  <c:v>0.55681818181818177</c:v>
                </c:pt>
                <c:pt idx="6">
                  <c:v>0.6404494382022472</c:v>
                </c:pt>
                <c:pt idx="7">
                  <c:v>0.77941176470588236</c:v>
                </c:pt>
                <c:pt idx="8">
                  <c:v>0.95945945945945943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2-4987-9501-250C4DCE9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32975"/>
        <c:axId val="77136303"/>
      </c:lineChart>
      <c:catAx>
        <c:axId val="7713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36303"/>
        <c:crosses val="autoZero"/>
        <c:auto val="1"/>
        <c:lblAlgn val="ctr"/>
        <c:lblOffset val="100"/>
        <c:noMultiLvlLbl val="0"/>
      </c:catAx>
      <c:valAx>
        <c:axId val="77136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3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relatívna chyba, t</a:t>
            </a:r>
            <a:r>
              <a:rPr lang="sk-SK" baseline="0"/>
              <a:t> = 1/4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Hárok1!$AF$62:$AN$62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Hárok1!$U$64:$AC$64</c:f>
              <c:numCache>
                <c:formatCode>0.000</c:formatCode>
                <c:ptCount val="9"/>
                <c:pt idx="0">
                  <c:v>5.3253189457079575E-2</c:v>
                </c:pt>
                <c:pt idx="1">
                  <c:v>4.2189251609637934E-2</c:v>
                </c:pt>
                <c:pt idx="2">
                  <c:v>1.8592983700088106E-2</c:v>
                </c:pt>
                <c:pt idx="3">
                  <c:v>5.2431781835179274E-4</c:v>
                </c:pt>
                <c:pt idx="4">
                  <c:v>3.8299530183791642E-3</c:v>
                </c:pt>
                <c:pt idx="5">
                  <c:v>1.4314000482490666E-2</c:v>
                </c:pt>
                <c:pt idx="6">
                  <c:v>6.5315078463469263E-3</c:v>
                </c:pt>
                <c:pt idx="7">
                  <c:v>8.85837372300558E-5</c:v>
                </c:pt>
                <c:pt idx="8">
                  <c:v>4.3300777889724385E-3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0-482C-8F13-29E1361D4CDB}"/>
            </c:ext>
          </c:extLst>
        </c:ser>
        <c:ser>
          <c:idx val="1"/>
          <c:order val="1"/>
          <c:tx>
            <c:v>Euro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Hárok1!$AF$62:$AN$62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Hárok1!$AF$64:$AN$64</c:f>
              <c:numCache>
                <c:formatCode>0.000</c:formatCode>
                <c:ptCount val="9"/>
                <c:pt idx="0">
                  <c:v>4.7745452244951976E-2</c:v>
                </c:pt>
                <c:pt idx="1">
                  <c:v>1.8207918138777451E-2</c:v>
                </c:pt>
                <c:pt idx="2">
                  <c:v>3.5152011658211246E-2</c:v>
                </c:pt>
                <c:pt idx="3">
                  <c:v>6.0388419318053313E-3</c:v>
                </c:pt>
                <c:pt idx="4">
                  <c:v>4.2315846779279577E-3</c:v>
                </c:pt>
                <c:pt idx="5">
                  <c:v>2.4617853436046675E-3</c:v>
                </c:pt>
                <c:pt idx="6">
                  <c:v>1.8211859358085076E-3</c:v>
                </c:pt>
                <c:pt idx="7">
                  <c:v>7.074178094270163E-4</c:v>
                </c:pt>
                <c:pt idx="8">
                  <c:v>3.4636530626206206E-3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0-482C-8F13-29E1361D4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55023"/>
        <c:axId val="77155439"/>
      </c:lineChart>
      <c:catAx>
        <c:axId val="7715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55439"/>
        <c:crosses val="autoZero"/>
        <c:auto val="1"/>
        <c:lblAlgn val="ctr"/>
        <c:lblOffset val="100"/>
        <c:noMultiLvlLbl val="0"/>
      </c:catAx>
      <c:valAx>
        <c:axId val="77155439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</a:t>
            </a:r>
            <a:r>
              <a:rPr lang="sk-SK" baseline="0"/>
              <a:t> = 1/2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Hárok1!$U$62:$AC$62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Hárok1!$U$65:$AC$65</c:f>
              <c:numCache>
                <c:formatCode>0.000</c:formatCode>
                <c:ptCount val="9"/>
                <c:pt idx="0">
                  <c:v>0.1116032604764068</c:v>
                </c:pt>
                <c:pt idx="1">
                  <c:v>3.5439249409261124E-2</c:v>
                </c:pt>
                <c:pt idx="2">
                  <c:v>1.2293537348378764E-2</c:v>
                </c:pt>
                <c:pt idx="3">
                  <c:v>7.2043752446841462E-5</c:v>
                </c:pt>
                <c:pt idx="4">
                  <c:v>5.3828316555134632E-3</c:v>
                </c:pt>
                <c:pt idx="5">
                  <c:v>6.2967144313236679E-4</c:v>
                </c:pt>
                <c:pt idx="6">
                  <c:v>3.781092767377721E-3</c:v>
                </c:pt>
                <c:pt idx="7">
                  <c:v>3.67538348101993E-3</c:v>
                </c:pt>
                <c:pt idx="8">
                  <c:v>1.9922463532903823E-2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1-4E0D-AB2A-2C2E1F116975}"/>
            </c:ext>
          </c:extLst>
        </c:ser>
        <c:ser>
          <c:idx val="1"/>
          <c:order val="1"/>
          <c:tx>
            <c:v>Euro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Hárok1!$U$62:$AC$62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Hárok1!$AF$65:$AN$65</c:f>
              <c:numCache>
                <c:formatCode>0.000</c:formatCode>
                <c:ptCount val="9"/>
                <c:pt idx="0">
                  <c:v>0.10767604909623932</c:v>
                </c:pt>
                <c:pt idx="1">
                  <c:v>1.8930728538323529E-2</c:v>
                </c:pt>
                <c:pt idx="2">
                  <c:v>4.2033823919129971E-2</c:v>
                </c:pt>
                <c:pt idx="3">
                  <c:v>1.0935390920508867E-2</c:v>
                </c:pt>
                <c:pt idx="4">
                  <c:v>2.0834814707378193E-3</c:v>
                </c:pt>
                <c:pt idx="5">
                  <c:v>3.0871895530066762E-3</c:v>
                </c:pt>
                <c:pt idx="6">
                  <c:v>1.0832122881954015E-2</c:v>
                </c:pt>
                <c:pt idx="7">
                  <c:v>1.4700422544575536E-7</c:v>
                </c:pt>
                <c:pt idx="8">
                  <c:v>1.8545038437560751E-2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1-4E0D-AB2A-2C2E1F116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25903"/>
        <c:axId val="77120079"/>
      </c:lineChart>
      <c:catAx>
        <c:axId val="7712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20079"/>
        <c:crosses val="autoZero"/>
        <c:auto val="1"/>
        <c:lblAlgn val="ctr"/>
        <c:lblOffset val="100"/>
        <c:noMultiLvlLbl val="0"/>
      </c:catAx>
      <c:valAx>
        <c:axId val="77120079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2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t</a:t>
            </a:r>
            <a:r>
              <a:rPr lang="sk-SK" baseline="0"/>
              <a:t> = 3/4</a:t>
            </a:r>
            <a:endParaRPr lang="sk-S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Hárok1!$U$62:$AC$62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Hárok1!$U$66:$AC$66</c:f>
              <c:numCache>
                <c:formatCode>0.000</c:formatCode>
                <c:ptCount val="9"/>
                <c:pt idx="0">
                  <c:v>0.17027972305150482</c:v>
                </c:pt>
                <c:pt idx="1">
                  <c:v>4.7461759370117006E-2</c:v>
                </c:pt>
                <c:pt idx="2">
                  <c:v>9.9970781308732826E-2</c:v>
                </c:pt>
                <c:pt idx="3">
                  <c:v>8.9869478702812964E-4</c:v>
                </c:pt>
                <c:pt idx="4">
                  <c:v>1.2425261460481977E-3</c:v>
                </c:pt>
                <c:pt idx="5">
                  <c:v>1.1262380087711139E-2</c:v>
                </c:pt>
                <c:pt idx="6">
                  <c:v>3.7046065117323109E-4</c:v>
                </c:pt>
                <c:pt idx="7">
                  <c:v>7.0259080533664562E-3</c:v>
                </c:pt>
                <c:pt idx="8">
                  <c:v>4.6819468098065427E-2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7-42B3-BC83-CC482BC35EB6}"/>
            </c:ext>
          </c:extLst>
        </c:ser>
        <c:ser>
          <c:idx val="1"/>
          <c:order val="1"/>
          <c:tx>
            <c:v>Euro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Hárok1!$U$62:$AC$62</c:f>
              <c:numCache>
                <c:formatCode>General</c:formatCode>
                <c:ptCount val="9"/>
                <c:pt idx="0">
                  <c:v>-7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cat>
          <c:val>
            <c:numRef>
              <c:f>Hárok1!$AF$66:$AN$66</c:f>
              <c:numCache>
                <c:formatCode>0.000</c:formatCode>
                <c:ptCount val="9"/>
                <c:pt idx="0">
                  <c:v>0.15146191123936834</c:v>
                </c:pt>
                <c:pt idx="1">
                  <c:v>4.0352105351706871E-2</c:v>
                </c:pt>
                <c:pt idx="2">
                  <c:v>1.2772696120838941E-2</c:v>
                </c:pt>
                <c:pt idx="3">
                  <c:v>3.4516683707756159E-2</c:v>
                </c:pt>
                <c:pt idx="4">
                  <c:v>1.4968815744888387E-3</c:v>
                </c:pt>
                <c:pt idx="5">
                  <c:v>5.6724496328172513E-3</c:v>
                </c:pt>
                <c:pt idx="6">
                  <c:v>2.377719200970282E-3</c:v>
                </c:pt>
                <c:pt idx="7">
                  <c:v>2.061817247325788E-3</c:v>
                </c:pt>
                <c:pt idx="8">
                  <c:v>3.4634545654822171E-2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07-42B3-BC83-CC482BC35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40047"/>
        <c:axId val="77131727"/>
      </c:lineChart>
      <c:catAx>
        <c:axId val="7714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31727"/>
        <c:crosses val="autoZero"/>
        <c:auto val="1"/>
        <c:lblAlgn val="ctr"/>
        <c:lblOffset val="100"/>
        <c:noMultiLvlLbl val="0"/>
      </c:catAx>
      <c:valAx>
        <c:axId val="77131727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14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image" Target="../media/image3.png"/><Relationship Id="rId3" Type="http://schemas.openxmlformats.org/officeDocument/2006/relationships/chart" Target="../charts/chart3.xml"/><Relationship Id="rId21" Type="http://schemas.openxmlformats.org/officeDocument/2006/relationships/image" Target="../media/image6.png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image" Target="../media/image2.png"/><Relationship Id="rId25" Type="http://schemas.openxmlformats.org/officeDocument/2006/relationships/image" Target="../media/image10.png"/><Relationship Id="rId2" Type="http://schemas.openxmlformats.org/officeDocument/2006/relationships/chart" Target="../charts/chart2.xml"/><Relationship Id="rId16" Type="http://schemas.openxmlformats.org/officeDocument/2006/relationships/image" Target="../media/image1.png"/><Relationship Id="rId20" Type="http://schemas.openxmlformats.org/officeDocument/2006/relationships/image" Target="../media/image5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image" Target="../media/image9.png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image" Target="../media/image8.png"/><Relationship Id="rId10" Type="http://schemas.openxmlformats.org/officeDocument/2006/relationships/chart" Target="../charts/chart10.xml"/><Relationship Id="rId19" Type="http://schemas.openxmlformats.org/officeDocument/2006/relationships/image" Target="../media/image4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22488</xdr:colOff>
      <xdr:row>19</xdr:row>
      <xdr:rowOff>24077</xdr:rowOff>
    </xdr:from>
    <xdr:to>
      <xdr:col>51</xdr:col>
      <xdr:colOff>333374</xdr:colOff>
      <xdr:row>38</xdr:row>
      <xdr:rowOff>15875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15873</xdr:colOff>
      <xdr:row>38</xdr:row>
      <xdr:rowOff>69056</xdr:rowOff>
    </xdr:from>
    <xdr:to>
      <xdr:col>48</xdr:col>
      <xdr:colOff>551654</xdr:colOff>
      <xdr:row>54</xdr:row>
      <xdr:rowOff>11906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47625</xdr:colOff>
      <xdr:row>51</xdr:row>
      <xdr:rowOff>92866</xdr:rowOff>
    </xdr:from>
    <xdr:to>
      <xdr:col>48</xdr:col>
      <xdr:colOff>619124</xdr:colOff>
      <xdr:row>67</xdr:row>
      <xdr:rowOff>154779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535782</xdr:colOff>
      <xdr:row>18</xdr:row>
      <xdr:rowOff>76993</xdr:rowOff>
    </xdr:from>
    <xdr:to>
      <xdr:col>58</xdr:col>
      <xdr:colOff>666750</xdr:colOff>
      <xdr:row>34</xdr:row>
      <xdr:rowOff>19843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23812</xdr:colOff>
      <xdr:row>38</xdr:row>
      <xdr:rowOff>84930</xdr:rowOff>
    </xdr:from>
    <xdr:to>
      <xdr:col>55</xdr:col>
      <xdr:colOff>738187</xdr:colOff>
      <xdr:row>54</xdr:row>
      <xdr:rowOff>27780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49</xdr:col>
      <xdr:colOff>59530</xdr:colOff>
      <xdr:row>51</xdr:row>
      <xdr:rowOff>128588</xdr:rowOff>
    </xdr:from>
    <xdr:to>
      <xdr:col>55</xdr:col>
      <xdr:colOff>797718</xdr:colOff>
      <xdr:row>67</xdr:row>
      <xdr:rowOff>166688</xdr:rowOff>
    </xdr:to>
    <xdr:graphicFrame macro="">
      <xdr:nvGraphicFramePr>
        <xdr:cNvPr id="7" name="Graf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111124</xdr:colOff>
      <xdr:row>71</xdr:row>
      <xdr:rowOff>41275</xdr:rowOff>
    </xdr:from>
    <xdr:to>
      <xdr:col>55</xdr:col>
      <xdr:colOff>841374</xdr:colOff>
      <xdr:row>85</xdr:row>
      <xdr:rowOff>174625</xdr:rowOff>
    </xdr:to>
    <xdr:graphicFrame macro="">
      <xdr:nvGraphicFramePr>
        <xdr:cNvPr id="16" name="Graf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71</xdr:row>
      <xdr:rowOff>41275</xdr:rowOff>
    </xdr:from>
    <xdr:to>
      <xdr:col>48</xdr:col>
      <xdr:colOff>476250</xdr:colOff>
      <xdr:row>86</xdr:row>
      <xdr:rowOff>15875</xdr:rowOff>
    </xdr:to>
    <xdr:graphicFrame macro="">
      <xdr:nvGraphicFramePr>
        <xdr:cNvPr id="17" name="Graf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87</xdr:row>
      <xdr:rowOff>120650</xdr:rowOff>
    </xdr:from>
    <xdr:to>
      <xdr:col>48</xdr:col>
      <xdr:colOff>508000</xdr:colOff>
      <xdr:row>103</xdr:row>
      <xdr:rowOff>0</xdr:rowOff>
    </xdr:to>
    <xdr:graphicFrame macro="">
      <xdr:nvGraphicFramePr>
        <xdr:cNvPr id="18" name="Graf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126999</xdr:colOff>
      <xdr:row>87</xdr:row>
      <xdr:rowOff>120649</xdr:rowOff>
    </xdr:from>
    <xdr:to>
      <xdr:col>55</xdr:col>
      <xdr:colOff>825499</xdr:colOff>
      <xdr:row>103</xdr:row>
      <xdr:rowOff>15874</xdr:rowOff>
    </xdr:to>
    <xdr:graphicFrame macro="">
      <xdr:nvGraphicFramePr>
        <xdr:cNvPr id="19" name="Graf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41</xdr:col>
      <xdr:colOff>79375</xdr:colOff>
      <xdr:row>103</xdr:row>
      <xdr:rowOff>120649</xdr:rowOff>
    </xdr:from>
    <xdr:to>
      <xdr:col>48</xdr:col>
      <xdr:colOff>492125</xdr:colOff>
      <xdr:row>118</xdr:row>
      <xdr:rowOff>142874</xdr:rowOff>
    </xdr:to>
    <xdr:graphicFrame macro="">
      <xdr:nvGraphicFramePr>
        <xdr:cNvPr id="20" name="Graf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166686</xdr:colOff>
      <xdr:row>103</xdr:row>
      <xdr:rowOff>128587</xdr:rowOff>
    </xdr:from>
    <xdr:to>
      <xdr:col>56</xdr:col>
      <xdr:colOff>23811</xdr:colOff>
      <xdr:row>118</xdr:row>
      <xdr:rowOff>47624</xdr:rowOff>
    </xdr:to>
    <xdr:graphicFrame macro="">
      <xdr:nvGraphicFramePr>
        <xdr:cNvPr id="21" name="Graf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598715</xdr:colOff>
      <xdr:row>66</xdr:row>
      <xdr:rowOff>125186</xdr:rowOff>
    </xdr:from>
    <xdr:to>
      <xdr:col>26</xdr:col>
      <xdr:colOff>435429</xdr:colOff>
      <xdr:row>81</xdr:row>
      <xdr:rowOff>10886</xdr:rowOff>
    </xdr:to>
    <xdr:graphicFrame macro="">
      <xdr:nvGraphicFramePr>
        <xdr:cNvPr id="22" name="Graf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530680</xdr:colOff>
      <xdr:row>66</xdr:row>
      <xdr:rowOff>125185</xdr:rowOff>
    </xdr:from>
    <xdr:to>
      <xdr:col>34</xdr:col>
      <xdr:colOff>326571</xdr:colOff>
      <xdr:row>81</xdr:row>
      <xdr:rowOff>13607</xdr:rowOff>
    </xdr:to>
    <xdr:graphicFrame macro="">
      <xdr:nvGraphicFramePr>
        <xdr:cNvPr id="23" name="Graf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32</xdr:col>
      <xdr:colOff>530678</xdr:colOff>
      <xdr:row>81</xdr:row>
      <xdr:rowOff>111579</xdr:rowOff>
    </xdr:from>
    <xdr:to>
      <xdr:col>40</xdr:col>
      <xdr:colOff>204107</xdr:colOff>
      <xdr:row>95</xdr:row>
      <xdr:rowOff>187779</xdr:rowOff>
    </xdr:to>
    <xdr:graphicFrame macro="">
      <xdr:nvGraphicFramePr>
        <xdr:cNvPr id="24" name="Graf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60</xdr:col>
      <xdr:colOff>434519</xdr:colOff>
      <xdr:row>2</xdr:row>
      <xdr:rowOff>69848</xdr:rowOff>
    </xdr:from>
    <xdr:to>
      <xdr:col>68</xdr:col>
      <xdr:colOff>428625</xdr:colOff>
      <xdr:row>17</xdr:row>
      <xdr:rowOff>60410</xdr:rowOff>
    </xdr:to>
    <xdr:pic>
      <xdr:nvPicPr>
        <xdr:cNvPr id="28" name="Obrázo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534894" y="482598"/>
          <a:ext cx="4820106" cy="30861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60</xdr:col>
      <xdr:colOff>444501</xdr:colOff>
      <xdr:row>17</xdr:row>
      <xdr:rowOff>142875</xdr:rowOff>
    </xdr:from>
    <xdr:to>
      <xdr:col>68</xdr:col>
      <xdr:colOff>444501</xdr:colOff>
      <xdr:row>32</xdr:row>
      <xdr:rowOff>158751</xdr:rowOff>
    </xdr:to>
    <xdr:pic>
      <xdr:nvPicPr>
        <xdr:cNvPr id="29" name="Obrázok 2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544876" y="3651250"/>
          <a:ext cx="4826000" cy="30797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60</xdr:col>
      <xdr:colOff>444501</xdr:colOff>
      <xdr:row>33</xdr:row>
      <xdr:rowOff>47625</xdr:rowOff>
    </xdr:from>
    <xdr:to>
      <xdr:col>68</xdr:col>
      <xdr:colOff>444501</xdr:colOff>
      <xdr:row>48</xdr:row>
      <xdr:rowOff>174625</xdr:rowOff>
    </xdr:to>
    <xdr:pic>
      <xdr:nvPicPr>
        <xdr:cNvPr id="30" name="Obrázok 2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544876" y="6826250"/>
          <a:ext cx="4826000" cy="3079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60</xdr:col>
      <xdr:colOff>444500</xdr:colOff>
      <xdr:row>49</xdr:row>
      <xdr:rowOff>63500</xdr:rowOff>
    </xdr:from>
    <xdr:to>
      <xdr:col>68</xdr:col>
      <xdr:colOff>460375</xdr:colOff>
      <xdr:row>64</xdr:row>
      <xdr:rowOff>137131</xdr:rowOff>
    </xdr:to>
    <xdr:pic>
      <xdr:nvPicPr>
        <xdr:cNvPr id="31" name="Obrázok 3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544875" y="9985375"/>
          <a:ext cx="4841875" cy="30898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69</xdr:col>
      <xdr:colOff>63500</xdr:colOff>
      <xdr:row>2</xdr:row>
      <xdr:rowOff>63499</xdr:rowOff>
    </xdr:from>
    <xdr:to>
      <xdr:col>77</xdr:col>
      <xdr:colOff>63500</xdr:colOff>
      <xdr:row>17</xdr:row>
      <xdr:rowOff>47625</xdr:rowOff>
    </xdr:to>
    <xdr:pic>
      <xdr:nvPicPr>
        <xdr:cNvPr id="32" name="Obrázok 3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593125" y="476249"/>
          <a:ext cx="4826000" cy="30797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69</xdr:col>
      <xdr:colOff>63501</xdr:colOff>
      <xdr:row>17</xdr:row>
      <xdr:rowOff>142875</xdr:rowOff>
    </xdr:from>
    <xdr:to>
      <xdr:col>77</xdr:col>
      <xdr:colOff>63501</xdr:colOff>
      <xdr:row>32</xdr:row>
      <xdr:rowOff>158750</xdr:rowOff>
    </xdr:to>
    <xdr:pic>
      <xdr:nvPicPr>
        <xdr:cNvPr id="33" name="Obrázok 3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593126" y="3651250"/>
          <a:ext cx="4826000" cy="3079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69</xdr:col>
      <xdr:colOff>63500</xdr:colOff>
      <xdr:row>33</xdr:row>
      <xdr:rowOff>47625</xdr:rowOff>
    </xdr:from>
    <xdr:to>
      <xdr:col>77</xdr:col>
      <xdr:colOff>63500</xdr:colOff>
      <xdr:row>49</xdr:row>
      <xdr:rowOff>14518</xdr:rowOff>
    </xdr:to>
    <xdr:pic>
      <xdr:nvPicPr>
        <xdr:cNvPr id="34" name="Obrázok 3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593125" y="6826250"/>
          <a:ext cx="4826000" cy="31101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69</xdr:col>
      <xdr:colOff>63501</xdr:colOff>
      <xdr:row>49</xdr:row>
      <xdr:rowOff>79375</xdr:rowOff>
    </xdr:from>
    <xdr:to>
      <xdr:col>77</xdr:col>
      <xdr:colOff>63501</xdr:colOff>
      <xdr:row>64</xdr:row>
      <xdr:rowOff>142875</xdr:rowOff>
    </xdr:to>
    <xdr:pic>
      <xdr:nvPicPr>
        <xdr:cNvPr id="35" name="Obrázok 3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593126" y="10001250"/>
          <a:ext cx="4826000" cy="3079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0</xdr:colOff>
      <xdr:row>121</xdr:row>
      <xdr:rowOff>0</xdr:rowOff>
    </xdr:from>
    <xdr:to>
      <xdr:col>55</xdr:col>
      <xdr:colOff>523875</xdr:colOff>
      <xdr:row>148</xdr:row>
      <xdr:rowOff>92525</xdr:rowOff>
    </xdr:to>
    <xdr:pic>
      <xdr:nvPicPr>
        <xdr:cNvPr id="36" name="Obrázok 3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9375" y="23812500"/>
          <a:ext cx="9636125" cy="5236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0</xdr:colOff>
      <xdr:row>149</xdr:row>
      <xdr:rowOff>1</xdr:rowOff>
    </xdr:from>
    <xdr:to>
      <xdr:col>55</xdr:col>
      <xdr:colOff>523875</xdr:colOff>
      <xdr:row>175</xdr:row>
      <xdr:rowOff>4213</xdr:rowOff>
    </xdr:to>
    <xdr:pic>
      <xdr:nvPicPr>
        <xdr:cNvPr id="37" name="Obrázok 3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9375" y="29146501"/>
          <a:ext cx="9636125" cy="495721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87"/>
  <sheetViews>
    <sheetView tabSelected="1" zoomScale="60" zoomScaleNormal="60" workbookViewId="0">
      <selection activeCell="BE14" sqref="BE14"/>
    </sheetView>
  </sheetViews>
  <sheetFormatPr defaultRowHeight="15" x14ac:dyDescent="0.25"/>
  <cols>
    <col min="2" max="5" width="20.7109375" customWidth="1"/>
    <col min="8" max="8" width="13.7109375" customWidth="1"/>
    <col min="21" max="29" width="8.7109375" customWidth="1"/>
    <col min="43" max="51" width="9.7109375" customWidth="1"/>
    <col min="55" max="59" width="12.7109375" customWidth="1"/>
  </cols>
  <sheetData>
    <row r="1" spans="2:80" ht="15.75" thickBot="1" x14ac:dyDescent="0.3"/>
    <row r="2" spans="2:80" ht="15.75" thickBot="1" x14ac:dyDescent="0.3">
      <c r="B2" s="101" t="s">
        <v>57</v>
      </c>
      <c r="C2" s="104"/>
      <c r="D2" s="104"/>
      <c r="E2" s="102"/>
      <c r="H2" s="101" t="s">
        <v>63</v>
      </c>
      <c r="I2" s="102"/>
      <c r="L2" s="101" t="s">
        <v>65</v>
      </c>
      <c r="M2" s="104"/>
      <c r="N2" s="104"/>
      <c r="O2" s="104"/>
      <c r="P2" s="102"/>
      <c r="T2" s="98" t="s">
        <v>124</v>
      </c>
      <c r="U2" s="99"/>
      <c r="V2" s="99"/>
      <c r="W2" s="99"/>
      <c r="X2" s="99"/>
      <c r="Y2" s="99"/>
      <c r="Z2" s="99"/>
      <c r="AA2" s="99"/>
      <c r="AB2" s="99"/>
      <c r="AC2" s="100"/>
      <c r="AE2" s="98" t="s">
        <v>127</v>
      </c>
      <c r="AF2" s="99"/>
      <c r="AG2" s="99"/>
      <c r="AH2" s="99"/>
      <c r="AI2" s="99"/>
      <c r="AJ2" s="99"/>
      <c r="AK2" s="99"/>
      <c r="AL2" s="99"/>
      <c r="AM2" s="99"/>
      <c r="AN2" s="100"/>
      <c r="AP2" s="98" t="s">
        <v>122</v>
      </c>
      <c r="AQ2" s="99"/>
      <c r="AR2" s="99"/>
      <c r="AS2" s="99"/>
      <c r="AT2" s="99"/>
      <c r="AU2" s="99"/>
      <c r="AV2" s="99"/>
      <c r="AW2" s="99"/>
      <c r="AX2" s="99"/>
      <c r="AY2" s="100"/>
      <c r="BA2" s="111" t="s">
        <v>48</v>
      </c>
      <c r="BB2" s="112"/>
      <c r="BC2" s="101" t="s">
        <v>53</v>
      </c>
      <c r="BD2" s="104"/>
      <c r="BE2" s="104"/>
      <c r="BF2" s="104"/>
      <c r="BG2" s="102"/>
      <c r="BH2" s="22"/>
      <c r="BK2" s="98" t="s">
        <v>130</v>
      </c>
      <c r="BL2" s="99"/>
      <c r="BM2" s="100"/>
      <c r="BS2" s="98" t="s">
        <v>132</v>
      </c>
      <c r="BT2" s="99"/>
      <c r="BU2" s="100"/>
      <c r="CB2" t="s">
        <v>160</v>
      </c>
    </row>
    <row r="3" spans="2:80" ht="15.75" thickBot="1" x14ac:dyDescent="0.3">
      <c r="B3" s="14" t="s">
        <v>58</v>
      </c>
      <c r="C3" s="15" t="s">
        <v>59</v>
      </c>
      <c r="D3" s="15" t="s">
        <v>60</v>
      </c>
      <c r="E3" s="16" t="s">
        <v>61</v>
      </c>
      <c r="H3" s="57" t="s">
        <v>8</v>
      </c>
      <c r="I3" s="58">
        <v>1230</v>
      </c>
      <c r="L3" s="7" t="s">
        <v>14</v>
      </c>
      <c r="M3" s="10" t="s">
        <v>15</v>
      </c>
      <c r="N3" s="10" t="s">
        <v>16</v>
      </c>
      <c r="O3" s="10" t="s">
        <v>17</v>
      </c>
      <c r="P3" s="7" t="s">
        <v>18</v>
      </c>
      <c r="T3" s="7"/>
      <c r="U3" s="98" t="s">
        <v>26</v>
      </c>
      <c r="V3" s="99"/>
      <c r="W3" s="99"/>
      <c r="X3" s="99"/>
      <c r="Y3" s="99"/>
      <c r="Z3" s="99"/>
      <c r="AA3" s="99"/>
      <c r="AB3" s="99"/>
      <c r="AC3" s="100"/>
      <c r="AE3" s="7"/>
      <c r="AF3" s="98" t="s">
        <v>26</v>
      </c>
      <c r="AG3" s="99"/>
      <c r="AH3" s="99"/>
      <c r="AI3" s="99"/>
      <c r="AJ3" s="99"/>
      <c r="AK3" s="99"/>
      <c r="AL3" s="99"/>
      <c r="AM3" s="99"/>
      <c r="AN3" s="100"/>
      <c r="AP3" s="2" t="s">
        <v>26</v>
      </c>
      <c r="AQ3" s="68">
        <v>-7</v>
      </c>
      <c r="AR3" s="68">
        <v>-5</v>
      </c>
      <c r="AS3" s="68">
        <v>-3</v>
      </c>
      <c r="AT3" s="68">
        <v>-1</v>
      </c>
      <c r="AU3" s="68">
        <v>0</v>
      </c>
      <c r="AV3" s="68">
        <v>1</v>
      </c>
      <c r="AW3" s="68">
        <v>3</v>
      </c>
      <c r="AX3" s="68">
        <v>5</v>
      </c>
      <c r="AY3" s="69">
        <v>7</v>
      </c>
      <c r="BA3" s="113"/>
      <c r="BB3" s="114"/>
      <c r="BC3" s="3" t="s">
        <v>51</v>
      </c>
      <c r="BD3" s="3" t="s">
        <v>49</v>
      </c>
      <c r="BE3" s="3" t="s">
        <v>38</v>
      </c>
      <c r="BF3" s="3" t="s">
        <v>50</v>
      </c>
      <c r="BG3" s="4" t="s">
        <v>52</v>
      </c>
      <c r="BH3" s="56" t="s">
        <v>54</v>
      </c>
    </row>
    <row r="4" spans="2:80" ht="15.75" thickBot="1" x14ac:dyDescent="0.3">
      <c r="B4" s="37">
        <v>1</v>
      </c>
      <c r="C4" s="3" t="s">
        <v>1</v>
      </c>
      <c r="D4" s="21">
        <v>0.55040650406503999</v>
      </c>
      <c r="E4" s="18">
        <v>8.0487921556067104</v>
      </c>
      <c r="H4" s="14" t="s">
        <v>9</v>
      </c>
      <c r="I4" s="4">
        <v>712</v>
      </c>
      <c r="L4" s="8" t="s">
        <v>15</v>
      </c>
      <c r="M4" s="3">
        <v>476</v>
      </c>
      <c r="N4" s="3">
        <v>30</v>
      </c>
      <c r="O4" s="3">
        <v>128</v>
      </c>
      <c r="P4" s="11">
        <v>634</v>
      </c>
      <c r="T4" s="7" t="s">
        <v>25</v>
      </c>
      <c r="U4" s="10">
        <v>-7</v>
      </c>
      <c r="V4" s="10">
        <v>-5</v>
      </c>
      <c r="W4" s="10">
        <v>-3</v>
      </c>
      <c r="X4" s="10">
        <v>-1</v>
      </c>
      <c r="Y4" s="10">
        <v>0</v>
      </c>
      <c r="Z4" s="10">
        <v>1</v>
      </c>
      <c r="AA4" s="10">
        <v>3</v>
      </c>
      <c r="AB4" s="10">
        <v>5</v>
      </c>
      <c r="AC4" s="29">
        <v>7</v>
      </c>
      <c r="AE4" s="7" t="s">
        <v>25</v>
      </c>
      <c r="AF4" s="28">
        <v>-7</v>
      </c>
      <c r="AG4" s="28">
        <v>-5</v>
      </c>
      <c r="AH4" s="28">
        <v>-3</v>
      </c>
      <c r="AI4" s="28">
        <v>-1</v>
      </c>
      <c r="AJ4" s="28">
        <v>0</v>
      </c>
      <c r="AK4" s="28">
        <v>1</v>
      </c>
      <c r="AL4" s="28">
        <v>3</v>
      </c>
      <c r="AM4" s="28">
        <v>5</v>
      </c>
      <c r="AN4" s="29">
        <v>7</v>
      </c>
      <c r="AP4" s="70" t="s">
        <v>155</v>
      </c>
      <c r="AQ4" s="71">
        <f>U46</f>
        <v>0.46808741819330202</v>
      </c>
      <c r="AR4" s="72">
        <f>V46</f>
        <v>0.50278696347019902</v>
      </c>
      <c r="AS4" s="72">
        <f t="shared" ref="AS4:AY4" si="0">W46</f>
        <v>0.53746542329575198</v>
      </c>
      <c r="AT4" s="72">
        <f t="shared" si="0"/>
        <v>0.57186125793895803</v>
      </c>
      <c r="AU4" s="72">
        <f t="shared" si="0"/>
        <v>0.58887304673996599</v>
      </c>
      <c r="AV4" s="72">
        <f t="shared" si="0"/>
        <v>0.60571930763573201</v>
      </c>
      <c r="AW4" s="72">
        <f t="shared" si="0"/>
        <v>0.63879645574807697</v>
      </c>
      <c r="AX4" s="72">
        <f t="shared" si="0"/>
        <v>0.67086684357488702</v>
      </c>
      <c r="AY4" s="73">
        <f t="shared" si="0"/>
        <v>0.70172645120688504</v>
      </c>
      <c r="BA4" s="115"/>
      <c r="BB4" s="116"/>
      <c r="BC4" s="54">
        <v>12</v>
      </c>
      <c r="BD4" s="54">
        <v>14</v>
      </c>
      <c r="BE4" s="54">
        <v>3</v>
      </c>
      <c r="BF4" s="54">
        <v>13</v>
      </c>
      <c r="BG4" s="55">
        <v>19</v>
      </c>
      <c r="BH4" s="12">
        <f>SUM(BC4:BG4)</f>
        <v>61</v>
      </c>
    </row>
    <row r="5" spans="2:80" ht="15.75" thickBot="1" x14ac:dyDescent="0.3">
      <c r="B5" s="37">
        <v>2</v>
      </c>
      <c r="C5" s="3" t="s">
        <v>2</v>
      </c>
      <c r="D5" s="21">
        <v>0.63658536585365799</v>
      </c>
      <c r="E5" s="18">
        <v>7.8859111404247901</v>
      </c>
      <c r="H5" s="14" t="s">
        <v>10</v>
      </c>
      <c r="I5" s="4">
        <v>518</v>
      </c>
      <c r="L5" s="8" t="s">
        <v>16</v>
      </c>
      <c r="M5" s="3">
        <v>30</v>
      </c>
      <c r="N5" s="3">
        <v>4</v>
      </c>
      <c r="O5" s="3">
        <v>24</v>
      </c>
      <c r="P5" s="11">
        <v>58</v>
      </c>
      <c r="T5" s="8">
        <v>0</v>
      </c>
      <c r="U5" s="33"/>
      <c r="V5" s="33"/>
      <c r="W5" s="33"/>
      <c r="X5" s="33"/>
      <c r="Y5" s="17">
        <v>0.55974836493637503</v>
      </c>
      <c r="Z5" s="33"/>
      <c r="AA5" s="33"/>
      <c r="AB5" s="33"/>
      <c r="AC5" s="34"/>
      <c r="AE5" s="8">
        <v>0</v>
      </c>
      <c r="AF5" s="33"/>
      <c r="AG5" s="33"/>
      <c r="AH5" s="33"/>
      <c r="AI5" s="33"/>
      <c r="AJ5" s="17">
        <v>0.61574381663455402</v>
      </c>
      <c r="AK5" s="33"/>
      <c r="AL5" s="33"/>
      <c r="AM5" s="33"/>
      <c r="AN5" s="34"/>
      <c r="AP5" s="109" t="s">
        <v>45</v>
      </c>
      <c r="AQ5" s="46">
        <f>U6</f>
        <v>0.32146461953072297</v>
      </c>
      <c r="AR5" s="17">
        <f t="shared" ref="AR5:AY5" si="1">V6</f>
        <v>0.38439782002415901</v>
      </c>
      <c r="AS5" s="17">
        <f t="shared" si="1"/>
        <v>0.45054121215482201</v>
      </c>
      <c r="AT5" s="17">
        <f t="shared" si="1"/>
        <v>0.51809078668331898</v>
      </c>
      <c r="AU5" s="17">
        <f t="shared" si="1"/>
        <v>0.55179222047358001</v>
      </c>
      <c r="AV5" s="17">
        <f t="shared" si="1"/>
        <v>0.58512372904700705</v>
      </c>
      <c r="AW5" s="17">
        <f t="shared" si="1"/>
        <v>0.64976106639922704</v>
      </c>
      <c r="AX5" s="17">
        <f t="shared" si="1"/>
        <v>0.71032417240554901</v>
      </c>
      <c r="AY5" s="18">
        <f t="shared" si="1"/>
        <v>0.76546360890838905</v>
      </c>
      <c r="BA5" s="101" t="s">
        <v>55</v>
      </c>
      <c r="BB5" s="102"/>
      <c r="BC5" s="62">
        <v>8</v>
      </c>
      <c r="BD5" s="63">
        <v>8</v>
      </c>
      <c r="BE5" s="63">
        <v>2</v>
      </c>
      <c r="BF5" s="63">
        <v>4</v>
      </c>
      <c r="BG5" s="63">
        <v>11</v>
      </c>
      <c r="BH5" s="23">
        <f>SUM(BC5:BG5)</f>
        <v>33</v>
      </c>
    </row>
    <row r="6" spans="2:80" ht="15.75" thickBot="1" x14ac:dyDescent="0.3">
      <c r="B6" s="37">
        <v>3</v>
      </c>
      <c r="C6" s="3" t="s">
        <v>3</v>
      </c>
      <c r="D6" s="21">
        <v>0.35121951219512099</v>
      </c>
      <c r="E6" s="18">
        <v>8.4652293741506295</v>
      </c>
      <c r="H6" s="14" t="s">
        <v>6</v>
      </c>
      <c r="I6" s="59">
        <f>I4/I3</f>
        <v>0.57886178861788617</v>
      </c>
      <c r="L6" s="9" t="s">
        <v>17</v>
      </c>
      <c r="M6" s="5">
        <v>173</v>
      </c>
      <c r="N6" s="5">
        <v>27</v>
      </c>
      <c r="O6" s="5">
        <v>338</v>
      </c>
      <c r="P6" s="12">
        <v>538</v>
      </c>
      <c r="T6" s="30">
        <v>0.25</v>
      </c>
      <c r="U6" s="17">
        <v>0.32146461953072297</v>
      </c>
      <c r="V6" s="17">
        <v>0.38439782002415901</v>
      </c>
      <c r="W6" s="17">
        <v>0.45054121215482201</v>
      </c>
      <c r="X6" s="17">
        <v>0.51809078668331898</v>
      </c>
      <c r="Y6" s="17">
        <v>0.55179222047358001</v>
      </c>
      <c r="Z6" s="17">
        <v>0.58512372904700705</v>
      </c>
      <c r="AA6" s="17">
        <v>0.64976106639922704</v>
      </c>
      <c r="AB6" s="17">
        <v>0.71032417240554901</v>
      </c>
      <c r="AC6" s="18">
        <v>0.76546360890838905</v>
      </c>
      <c r="AE6" s="30">
        <v>0.25</v>
      </c>
      <c r="AF6" s="17">
        <v>0.35762306596632398</v>
      </c>
      <c r="AG6" s="17">
        <v>0.42553250358352002</v>
      </c>
      <c r="AH6" s="17">
        <v>0.495731425731604</v>
      </c>
      <c r="AI6" s="17">
        <v>0.56606312001885095</v>
      </c>
      <c r="AJ6" s="17">
        <v>0.60059587656471902</v>
      </c>
      <c r="AK6" s="17">
        <v>0.63435861255204595</v>
      </c>
      <c r="AL6" s="17">
        <v>0.69863527616146703</v>
      </c>
      <c r="AM6" s="17">
        <v>0.75726730553878796</v>
      </c>
      <c r="AN6" s="18">
        <v>0.80910394424718302</v>
      </c>
      <c r="AP6" s="117"/>
      <c r="AQ6" s="46">
        <f>76/245</f>
        <v>0.31020408163265306</v>
      </c>
      <c r="AR6" s="17">
        <f>30/84</f>
        <v>0.35714285714285715</v>
      </c>
      <c r="AS6" s="17">
        <f>49/112</f>
        <v>0.4375</v>
      </c>
      <c r="AT6" s="17">
        <f>61/110</f>
        <v>0.55454545454545456</v>
      </c>
      <c r="AU6" s="17">
        <f>35/55</f>
        <v>0.63636363636363635</v>
      </c>
      <c r="AV6" s="17">
        <f>61/119</f>
        <v>0.51260504201680668</v>
      </c>
      <c r="AW6" s="17">
        <f>83/118</f>
        <v>0.70338983050847459</v>
      </c>
      <c r="AX6" s="17">
        <f>63/95</f>
        <v>0.66315789473684206</v>
      </c>
      <c r="AY6" s="18">
        <f>221/292</f>
        <v>0.75684931506849318</v>
      </c>
      <c r="BA6" s="103" t="s">
        <v>56</v>
      </c>
      <c r="BB6" s="104"/>
      <c r="BC6" s="64">
        <f>BC5/BC4</f>
        <v>0.66666666666666663</v>
      </c>
      <c r="BD6" s="65">
        <f t="shared" ref="BD6:BG6" si="2">BD5/BD4</f>
        <v>0.5714285714285714</v>
      </c>
      <c r="BE6" s="65">
        <f t="shared" si="2"/>
        <v>0.66666666666666663</v>
      </c>
      <c r="BF6" s="65">
        <f t="shared" si="2"/>
        <v>0.30769230769230771</v>
      </c>
      <c r="BG6" s="66">
        <f t="shared" si="2"/>
        <v>0.57894736842105265</v>
      </c>
      <c r="BH6" s="66">
        <f>BH5/BH4</f>
        <v>0.54098360655737709</v>
      </c>
    </row>
    <row r="7" spans="2:80" ht="15.75" thickBot="1" x14ac:dyDescent="0.3">
      <c r="B7" s="37">
        <v>4</v>
      </c>
      <c r="C7" s="3" t="s">
        <v>4</v>
      </c>
      <c r="D7" s="21">
        <v>0.50813008130081305</v>
      </c>
      <c r="E7" s="18">
        <v>7.5770744701225299</v>
      </c>
      <c r="H7" s="14" t="s">
        <v>7</v>
      </c>
      <c r="I7" s="59">
        <f>I5/I3</f>
        <v>0.42113821138211383</v>
      </c>
      <c r="L7" s="9" t="s">
        <v>18</v>
      </c>
      <c r="M7" s="5">
        <v>679</v>
      </c>
      <c r="N7" s="5">
        <v>61</v>
      </c>
      <c r="O7" s="5">
        <v>490</v>
      </c>
      <c r="P7" s="12">
        <v>1230</v>
      </c>
      <c r="T7" s="30">
        <v>0.5</v>
      </c>
      <c r="U7" s="17">
        <v>0.26731606596086899</v>
      </c>
      <c r="V7" s="17">
        <v>0.339742997911399</v>
      </c>
      <c r="W7" s="17">
        <v>0.41863813810605599</v>
      </c>
      <c r="X7" s="17">
        <v>0.50096036337792405</v>
      </c>
      <c r="Y7" s="17">
        <v>0.54232793513586197</v>
      </c>
      <c r="Z7" s="17">
        <v>0.58324156938146099</v>
      </c>
      <c r="AA7" s="17">
        <v>0.66201883341190904</v>
      </c>
      <c r="AB7" s="17">
        <v>0.73426550161556603</v>
      </c>
      <c r="AC7" s="18">
        <v>0.79773300481237697</v>
      </c>
      <c r="AE7" s="30">
        <v>0.5</v>
      </c>
      <c r="AF7" s="17">
        <v>0.29086168979063698</v>
      </c>
      <c r="AG7" s="17">
        <v>0.36918371573563302</v>
      </c>
      <c r="AH7" s="17">
        <v>0.45336544481704899</v>
      </c>
      <c r="AI7" s="17">
        <v>0.53970481129206205</v>
      </c>
      <c r="AJ7" s="17">
        <v>0.58243104326482498</v>
      </c>
      <c r="AK7" s="17">
        <v>0.62420486202013903</v>
      </c>
      <c r="AL7" s="17">
        <v>0.70312033609455404</v>
      </c>
      <c r="AM7" s="17">
        <v>0.77344771513136301</v>
      </c>
      <c r="AN7" s="18">
        <v>0.83325357158981295</v>
      </c>
      <c r="AP7" s="118" t="s">
        <v>46</v>
      </c>
      <c r="AQ7" s="51">
        <f t="shared" ref="AQ7:AY7" si="3">U7</f>
        <v>0.26731606596086899</v>
      </c>
      <c r="AR7" s="52">
        <f t="shared" si="3"/>
        <v>0.339742997911399</v>
      </c>
      <c r="AS7" s="52">
        <f t="shared" si="3"/>
        <v>0.41863813810605599</v>
      </c>
      <c r="AT7" s="52">
        <f t="shared" si="3"/>
        <v>0.50096036337792405</v>
      </c>
      <c r="AU7" s="52">
        <f t="shared" si="3"/>
        <v>0.54232793513586197</v>
      </c>
      <c r="AV7" s="52">
        <f t="shared" si="3"/>
        <v>0.58324156938146099</v>
      </c>
      <c r="AW7" s="52">
        <f t="shared" si="3"/>
        <v>0.66201883341190904</v>
      </c>
      <c r="AX7" s="52">
        <f t="shared" si="3"/>
        <v>0.73426550161556603</v>
      </c>
      <c r="AY7" s="53">
        <f t="shared" si="3"/>
        <v>0.79773300481237697</v>
      </c>
    </row>
    <row r="8" spans="2:80" ht="15.75" thickBot="1" x14ac:dyDescent="0.3">
      <c r="B8" s="35" t="s">
        <v>0</v>
      </c>
      <c r="C8" s="5" t="s">
        <v>5</v>
      </c>
      <c r="D8" s="78">
        <f>SUM(D4:D7)</f>
        <v>2.046341463414632</v>
      </c>
      <c r="E8" s="20">
        <v>13.6122150708373</v>
      </c>
      <c r="H8" s="14" t="s">
        <v>11</v>
      </c>
      <c r="I8" s="4">
        <v>634</v>
      </c>
      <c r="L8" s="13" t="s">
        <v>19</v>
      </c>
      <c r="M8" s="1">
        <f>(M4+O6)/(P4+P6)</f>
        <v>0.69453924914675769</v>
      </c>
      <c r="N8" t="s">
        <v>20</v>
      </c>
      <c r="T8" s="30">
        <v>0.75</v>
      </c>
      <c r="U8" s="17">
        <v>0.17021337780086901</v>
      </c>
      <c r="V8" s="17">
        <v>0.25479743148758</v>
      </c>
      <c r="W8" s="17">
        <v>0.357326210710048</v>
      </c>
      <c r="X8" s="17">
        <v>0.47139596443281101</v>
      </c>
      <c r="Y8" s="17">
        <v>0.52995853517176095</v>
      </c>
      <c r="Z8" s="17">
        <v>0.58787905778004401</v>
      </c>
      <c r="AA8" s="17">
        <v>0.69705400971322296</v>
      </c>
      <c r="AB8" s="17">
        <v>0.79097241188969702</v>
      </c>
      <c r="AC8" s="18">
        <v>0.86512829371058497</v>
      </c>
      <c r="AE8" s="30">
        <v>0.75</v>
      </c>
      <c r="AF8" s="17">
        <v>0.177169132948855</v>
      </c>
      <c r="AG8" s="17">
        <v>0.267783392658276</v>
      </c>
      <c r="AH8" s="17">
        <v>0.37719572942014401</v>
      </c>
      <c r="AI8" s="17">
        <v>0.49753550614689601</v>
      </c>
      <c r="AJ8" s="17">
        <v>0.55849739852005498</v>
      </c>
      <c r="AK8" s="17">
        <v>0.61810170148327004</v>
      </c>
      <c r="AL8" s="17">
        <v>0.72813277845060997</v>
      </c>
      <c r="AM8" s="17">
        <v>0.81960270899707799</v>
      </c>
      <c r="AN8" s="18">
        <v>0.888867728212133</v>
      </c>
      <c r="AP8" s="117"/>
      <c r="AQ8" s="46">
        <f>59/285</f>
        <v>0.20701754385964913</v>
      </c>
      <c r="AR8" s="17">
        <f>23/68</f>
        <v>0.33823529411764708</v>
      </c>
      <c r="AS8" s="17">
        <f>37/86</f>
        <v>0.43023255813953487</v>
      </c>
      <c r="AT8" s="17">
        <f>54/99</f>
        <v>0.54545454545454541</v>
      </c>
      <c r="AU8" s="17">
        <f>30/58</f>
        <v>0.51724137931034486</v>
      </c>
      <c r="AV8" s="17">
        <f>57/93</f>
        <v>0.61290322580645162</v>
      </c>
      <c r="AW8" s="17">
        <f>48/82</f>
        <v>0.58536585365853655</v>
      </c>
      <c r="AX8" s="17">
        <f>68/94</f>
        <v>0.72340425531914898</v>
      </c>
      <c r="AY8" s="18">
        <f>303/365</f>
        <v>0.83013698630136989</v>
      </c>
      <c r="BA8" s="111" t="s">
        <v>48</v>
      </c>
      <c r="BB8" s="112"/>
      <c r="BC8" s="101" t="s">
        <v>53</v>
      </c>
      <c r="BD8" s="104"/>
      <c r="BE8" s="104"/>
      <c r="BF8" s="104"/>
      <c r="BG8" s="102"/>
      <c r="BH8" s="22"/>
    </row>
    <row r="9" spans="2:80" ht="15.75" thickBot="1" x14ac:dyDescent="0.3">
      <c r="H9" s="14" t="s">
        <v>12</v>
      </c>
      <c r="I9" s="4">
        <v>538</v>
      </c>
      <c r="T9" s="31" t="s">
        <v>27</v>
      </c>
      <c r="U9" s="17">
        <v>5.7208935727425102E-2</v>
      </c>
      <c r="V9" s="17">
        <v>0.13263532731631</v>
      </c>
      <c r="W9" s="17">
        <v>0.25804110636140898</v>
      </c>
      <c r="X9" s="17">
        <v>0.42670360482027497</v>
      </c>
      <c r="Y9" s="17">
        <v>0.51895814374051297</v>
      </c>
      <c r="Z9" s="17">
        <v>0.61020396642967401</v>
      </c>
      <c r="AA9" s="24">
        <v>0.77170517897274404</v>
      </c>
      <c r="AB9" s="17">
        <v>0.88668734865230603</v>
      </c>
      <c r="AC9" s="18">
        <v>0.95290730217303998</v>
      </c>
      <c r="AE9" s="31" t="s">
        <v>27</v>
      </c>
      <c r="AF9" s="17">
        <v>5.4349182092125199E-2</v>
      </c>
      <c r="AG9" s="17">
        <v>0.13153317912298099</v>
      </c>
      <c r="AH9" s="17">
        <v>0.262950767760884</v>
      </c>
      <c r="AI9" s="17">
        <v>0.44062826588811099</v>
      </c>
      <c r="AJ9" s="17">
        <v>0.53707704963389102</v>
      </c>
      <c r="AK9" s="17">
        <v>0.63138420652577898</v>
      </c>
      <c r="AL9" s="24">
        <v>0.794011613978857</v>
      </c>
      <c r="AM9" s="17">
        <v>0.90410772700645403</v>
      </c>
      <c r="AN9" s="18">
        <v>0.96329043020397698</v>
      </c>
      <c r="AP9" s="109" t="s">
        <v>47</v>
      </c>
      <c r="AQ9" s="51">
        <f t="shared" ref="AQ9:AY9" si="4">U8</f>
        <v>0.17021337780086901</v>
      </c>
      <c r="AR9" s="52">
        <f t="shared" si="4"/>
        <v>0.25479743148758</v>
      </c>
      <c r="AS9" s="52">
        <f t="shared" si="4"/>
        <v>0.357326210710048</v>
      </c>
      <c r="AT9" s="52">
        <f t="shared" si="4"/>
        <v>0.47139596443281101</v>
      </c>
      <c r="AU9" s="52">
        <f t="shared" si="4"/>
        <v>0.52995853517176095</v>
      </c>
      <c r="AV9" s="52">
        <f t="shared" si="4"/>
        <v>0.58787905778004401</v>
      </c>
      <c r="AW9" s="52">
        <f t="shared" si="4"/>
        <v>0.69705400971322296</v>
      </c>
      <c r="AX9" s="52">
        <f t="shared" si="4"/>
        <v>0.79097241188969702</v>
      </c>
      <c r="AY9" s="53">
        <f t="shared" si="4"/>
        <v>0.86512829371058497</v>
      </c>
      <c r="BA9" s="113"/>
      <c r="BB9" s="114"/>
      <c r="BC9" s="3" t="s">
        <v>51</v>
      </c>
      <c r="BD9" s="3" t="s">
        <v>49</v>
      </c>
      <c r="BE9" s="3" t="s">
        <v>38</v>
      </c>
      <c r="BF9" s="3" t="s">
        <v>50</v>
      </c>
      <c r="BG9" s="4" t="s">
        <v>52</v>
      </c>
      <c r="BH9" s="56" t="s">
        <v>54</v>
      </c>
    </row>
    <row r="10" spans="2:80" ht="15.75" thickBot="1" x14ac:dyDescent="0.3">
      <c r="B10" s="101" t="s">
        <v>62</v>
      </c>
      <c r="C10" s="104"/>
      <c r="D10" s="104"/>
      <c r="E10" s="102"/>
      <c r="H10" s="14" t="s">
        <v>13</v>
      </c>
      <c r="I10" s="4">
        <v>58</v>
      </c>
      <c r="L10" s="101" t="s">
        <v>65</v>
      </c>
      <c r="M10" s="104"/>
      <c r="N10" s="104"/>
      <c r="O10" s="104"/>
      <c r="P10" s="102"/>
      <c r="T10" s="32">
        <v>1</v>
      </c>
      <c r="U10" s="5">
        <v>0</v>
      </c>
      <c r="V10" s="5">
        <v>0</v>
      </c>
      <c r="W10" s="5">
        <v>0</v>
      </c>
      <c r="X10" s="5">
        <v>0</v>
      </c>
      <c r="Y10" s="27" t="s">
        <v>28</v>
      </c>
      <c r="Z10" s="5">
        <v>1</v>
      </c>
      <c r="AA10" s="5">
        <v>1</v>
      </c>
      <c r="AB10" s="5">
        <v>1</v>
      </c>
      <c r="AC10" s="6">
        <v>1</v>
      </c>
      <c r="AE10" s="32">
        <v>1</v>
      </c>
      <c r="AF10" s="5">
        <v>0</v>
      </c>
      <c r="AG10" s="5">
        <v>0</v>
      </c>
      <c r="AH10" s="5">
        <v>0</v>
      </c>
      <c r="AI10" s="5">
        <v>0</v>
      </c>
      <c r="AJ10" s="27" t="s">
        <v>28</v>
      </c>
      <c r="AK10" s="5">
        <v>1</v>
      </c>
      <c r="AL10" s="5">
        <v>1</v>
      </c>
      <c r="AM10" s="5">
        <v>1</v>
      </c>
      <c r="AN10" s="6">
        <v>1</v>
      </c>
      <c r="AP10" s="110"/>
      <c r="AQ10" s="47">
        <f>33/321</f>
        <v>0.10280373831775701</v>
      </c>
      <c r="AR10" s="19">
        <f>14/53</f>
        <v>0.26415094339622641</v>
      </c>
      <c r="AS10" s="19">
        <f>19/77</f>
        <v>0.24675324675324675</v>
      </c>
      <c r="AT10" s="19">
        <f>45/90</f>
        <v>0.5</v>
      </c>
      <c r="AU10" s="19">
        <f>26/45</f>
        <v>0.57777777777777772</v>
      </c>
      <c r="AV10" s="19">
        <f>49/74</f>
        <v>0.66216216216216217</v>
      </c>
      <c r="AW10" s="19">
        <f>58/93</f>
        <v>0.62365591397849462</v>
      </c>
      <c r="AX10" s="19">
        <f>42/55</f>
        <v>0.76363636363636367</v>
      </c>
      <c r="AY10" s="20">
        <f>393/422</f>
        <v>0.93127962085308058</v>
      </c>
      <c r="BA10" s="115"/>
      <c r="BB10" s="116"/>
      <c r="BC10" s="54">
        <v>7</v>
      </c>
      <c r="BD10" s="54">
        <v>14</v>
      </c>
      <c r="BE10" s="54">
        <v>4</v>
      </c>
      <c r="BF10" s="54">
        <v>11</v>
      </c>
      <c r="BG10" s="55">
        <v>13</v>
      </c>
      <c r="BH10" s="12">
        <f>SUM(BC10:BG10)</f>
        <v>49</v>
      </c>
    </row>
    <row r="11" spans="2:80" ht="15.75" thickBot="1" x14ac:dyDescent="0.3">
      <c r="B11" s="14" t="s">
        <v>58</v>
      </c>
      <c r="C11" s="15" t="s">
        <v>59</v>
      </c>
      <c r="D11" s="15" t="s">
        <v>60</v>
      </c>
      <c r="E11" s="16" t="s">
        <v>61</v>
      </c>
      <c r="H11" s="14" t="s">
        <v>21</v>
      </c>
      <c r="I11" s="92">
        <v>106.78292682926801</v>
      </c>
      <c r="L11" s="7" t="s">
        <v>14</v>
      </c>
      <c r="M11" s="88" t="s">
        <v>15</v>
      </c>
      <c r="N11" s="88" t="s">
        <v>16</v>
      </c>
      <c r="O11" s="88" t="s">
        <v>17</v>
      </c>
      <c r="P11" s="89" t="s">
        <v>18</v>
      </c>
      <c r="AP11" s="98" t="s">
        <v>123</v>
      </c>
      <c r="AQ11" s="99"/>
      <c r="AR11" s="99"/>
      <c r="AS11" s="99"/>
      <c r="AT11" s="99"/>
      <c r="AU11" s="99"/>
      <c r="AV11" s="99"/>
      <c r="AW11" s="99"/>
      <c r="AX11" s="99"/>
      <c r="AY11" s="100"/>
      <c r="BA11" s="101" t="s">
        <v>55</v>
      </c>
      <c r="BB11" s="102"/>
      <c r="BC11" s="62">
        <v>3</v>
      </c>
      <c r="BD11" s="63">
        <v>10</v>
      </c>
      <c r="BE11" s="63">
        <v>3</v>
      </c>
      <c r="BF11" s="63">
        <v>9</v>
      </c>
      <c r="BG11" s="63">
        <v>8</v>
      </c>
      <c r="BH11" s="23">
        <f>SUM(BC11:BG11)</f>
        <v>33</v>
      </c>
    </row>
    <row r="12" spans="2:80" ht="15.75" thickBot="1" x14ac:dyDescent="0.3">
      <c r="B12" s="37">
        <v>1</v>
      </c>
      <c r="C12" s="3" t="s">
        <v>1</v>
      </c>
      <c r="D12" s="21">
        <v>1.1515679442508699</v>
      </c>
      <c r="E12" s="18">
        <v>6.8549314163867097</v>
      </c>
      <c r="H12" s="36" t="s">
        <v>24</v>
      </c>
      <c r="I12" s="92">
        <v>11.4551888627972</v>
      </c>
      <c r="L12" s="76" t="s">
        <v>15</v>
      </c>
      <c r="M12" s="79">
        <f>M4/$P$7</f>
        <v>0.38699186991869916</v>
      </c>
      <c r="N12" s="80">
        <f t="shared" ref="N12:O12" si="5">N4/$P$7</f>
        <v>2.4390243902439025E-2</v>
      </c>
      <c r="O12" s="81">
        <f t="shared" si="5"/>
        <v>0.1040650406504065</v>
      </c>
      <c r="P12" s="81">
        <f>P4/$P$7</f>
        <v>0.51544715447154477</v>
      </c>
      <c r="T12" s="98" t="s">
        <v>125</v>
      </c>
      <c r="U12" s="99"/>
      <c r="V12" s="99"/>
      <c r="W12" s="99"/>
      <c r="X12" s="99"/>
      <c r="Y12" s="99"/>
      <c r="Z12" s="99"/>
      <c r="AA12" s="99"/>
      <c r="AB12" s="99"/>
      <c r="AC12" s="100"/>
      <c r="AE12" s="98" t="s">
        <v>128</v>
      </c>
      <c r="AF12" s="99"/>
      <c r="AG12" s="99"/>
      <c r="AH12" s="99"/>
      <c r="AI12" s="99"/>
      <c r="AJ12" s="99"/>
      <c r="AK12" s="99"/>
      <c r="AL12" s="99"/>
      <c r="AM12" s="99"/>
      <c r="AN12" s="100"/>
      <c r="AP12" s="2" t="s">
        <v>26</v>
      </c>
      <c r="AQ12" s="68">
        <v>-7</v>
      </c>
      <c r="AR12" s="68">
        <v>-5</v>
      </c>
      <c r="AS12" s="68">
        <v>-3</v>
      </c>
      <c r="AT12" s="68">
        <v>-1</v>
      </c>
      <c r="AU12" s="68">
        <v>0</v>
      </c>
      <c r="AV12" s="68">
        <v>1</v>
      </c>
      <c r="AW12" s="68">
        <v>3</v>
      </c>
      <c r="AX12" s="68">
        <v>5</v>
      </c>
      <c r="AY12" s="69">
        <v>7</v>
      </c>
      <c r="BA12" s="103" t="s">
        <v>56</v>
      </c>
      <c r="BB12" s="104"/>
      <c r="BC12" s="64">
        <f>BC11/BC10</f>
        <v>0.42857142857142855</v>
      </c>
      <c r="BD12" s="65">
        <f t="shared" ref="BD12:BG12" si="6">BD11/BD10</f>
        <v>0.7142857142857143</v>
      </c>
      <c r="BE12" s="65">
        <f t="shared" si="6"/>
        <v>0.75</v>
      </c>
      <c r="BF12" s="65">
        <f t="shared" si="6"/>
        <v>0.81818181818181823</v>
      </c>
      <c r="BG12" s="66">
        <f t="shared" si="6"/>
        <v>0.61538461538461542</v>
      </c>
      <c r="BH12" s="66">
        <f>BH11/BH10</f>
        <v>0.67346938775510201</v>
      </c>
    </row>
    <row r="13" spans="2:80" ht="15.75" thickBot="1" x14ac:dyDescent="0.3">
      <c r="B13" s="37">
        <v>2</v>
      </c>
      <c r="C13" s="3" t="s">
        <v>2</v>
      </c>
      <c r="D13" s="21">
        <v>0.856271777003484</v>
      </c>
      <c r="E13" s="18">
        <v>6.9334414992013196</v>
      </c>
      <c r="H13" s="14" t="s">
        <v>22</v>
      </c>
      <c r="I13" s="92">
        <v>104.736585365853</v>
      </c>
      <c r="L13" s="76" t="s">
        <v>16</v>
      </c>
      <c r="M13" s="82">
        <f t="shared" ref="M13:P13" si="7">M5/$P$7</f>
        <v>2.4390243902439025E-2</v>
      </c>
      <c r="N13" s="83">
        <f t="shared" ref="N13:O13" si="8">N5/$P$7</f>
        <v>3.2520325203252032E-3</v>
      </c>
      <c r="O13" s="84">
        <f t="shared" si="8"/>
        <v>1.9512195121951219E-2</v>
      </c>
      <c r="P13" s="84">
        <f t="shared" si="7"/>
        <v>4.715447154471545E-2</v>
      </c>
      <c r="T13" s="7"/>
      <c r="U13" s="98" t="s">
        <v>26</v>
      </c>
      <c r="V13" s="99"/>
      <c r="W13" s="99"/>
      <c r="X13" s="99"/>
      <c r="Y13" s="99"/>
      <c r="Z13" s="99"/>
      <c r="AA13" s="99"/>
      <c r="AB13" s="99"/>
      <c r="AC13" s="100"/>
      <c r="AE13" s="7"/>
      <c r="AF13" s="98" t="s">
        <v>26</v>
      </c>
      <c r="AG13" s="99"/>
      <c r="AH13" s="99"/>
      <c r="AI13" s="99"/>
      <c r="AJ13" s="99"/>
      <c r="AK13" s="99"/>
      <c r="AL13" s="99"/>
      <c r="AM13" s="99"/>
      <c r="AN13" s="100"/>
      <c r="AP13" s="105" t="s">
        <v>45</v>
      </c>
      <c r="AQ13" s="43">
        <f>AF6</f>
        <v>0.35762306596632398</v>
      </c>
      <c r="AR13" s="44">
        <f>AG6</f>
        <v>0.42553250358352002</v>
      </c>
      <c r="AS13" s="44">
        <f>AH6</f>
        <v>0.495731425731604</v>
      </c>
      <c r="AT13" s="44">
        <f t="shared" ref="AT13:AY13" si="9">AI6</f>
        <v>0.56606312001885095</v>
      </c>
      <c r="AU13" s="44">
        <f t="shared" si="9"/>
        <v>0.60059587656471902</v>
      </c>
      <c r="AV13" s="44">
        <f t="shared" si="9"/>
        <v>0.63435861255204595</v>
      </c>
      <c r="AW13" s="44">
        <f t="shared" si="9"/>
        <v>0.69863527616146703</v>
      </c>
      <c r="AX13" s="44">
        <f t="shared" si="9"/>
        <v>0.75726730553878796</v>
      </c>
      <c r="AY13" s="45">
        <f t="shared" si="9"/>
        <v>0.80910394424718302</v>
      </c>
    </row>
    <row r="14" spans="2:80" ht="15.75" thickBot="1" x14ac:dyDescent="0.3">
      <c r="B14" s="37">
        <v>3</v>
      </c>
      <c r="C14" s="3" t="s">
        <v>3</v>
      </c>
      <c r="D14" s="21">
        <v>1.19599303135888</v>
      </c>
      <c r="E14" s="18">
        <v>6.8948321984233303</v>
      </c>
      <c r="H14" s="36" t="s">
        <v>24</v>
      </c>
      <c r="I14" s="92">
        <v>11.926430762774199</v>
      </c>
      <c r="L14" s="77" t="s">
        <v>17</v>
      </c>
      <c r="M14" s="85">
        <f t="shared" ref="M14:P14" si="10">M6/$P$7</f>
        <v>0.14065040650406505</v>
      </c>
      <c r="N14" s="86">
        <f t="shared" ref="N14:O14" si="11">N6/$P$7</f>
        <v>2.1951219512195121E-2</v>
      </c>
      <c r="O14" s="87">
        <f t="shared" si="11"/>
        <v>0.27479674796747966</v>
      </c>
      <c r="P14" s="87">
        <f t="shared" si="10"/>
        <v>0.43739837398373982</v>
      </c>
      <c r="T14" s="7" t="s">
        <v>25</v>
      </c>
      <c r="U14" s="10" t="s">
        <v>29</v>
      </c>
      <c r="V14" s="10" t="s">
        <v>30</v>
      </c>
      <c r="W14" s="10" t="s">
        <v>31</v>
      </c>
      <c r="X14" s="10" t="s">
        <v>32</v>
      </c>
      <c r="Y14" s="10">
        <v>0</v>
      </c>
      <c r="Z14" s="10" t="s">
        <v>33</v>
      </c>
      <c r="AA14" s="10">
        <v>3</v>
      </c>
      <c r="AB14" s="10">
        <v>5</v>
      </c>
      <c r="AC14" s="29">
        <v>7</v>
      </c>
      <c r="AE14" s="7" t="s">
        <v>25</v>
      </c>
      <c r="AF14" s="28" t="s">
        <v>29</v>
      </c>
      <c r="AG14" s="28" t="s">
        <v>30</v>
      </c>
      <c r="AH14" s="28" t="s">
        <v>31</v>
      </c>
      <c r="AI14" s="28" t="s">
        <v>32</v>
      </c>
      <c r="AJ14" s="28">
        <v>0</v>
      </c>
      <c r="AK14" s="28" t="s">
        <v>33</v>
      </c>
      <c r="AL14" s="28">
        <v>3</v>
      </c>
      <c r="AM14" s="28">
        <v>5</v>
      </c>
      <c r="AN14" s="29">
        <v>7</v>
      </c>
      <c r="AP14" s="105"/>
      <c r="AQ14" s="46">
        <f>49/141</f>
        <v>0.3475177304964539</v>
      </c>
      <c r="AR14" s="17">
        <f>39/88</f>
        <v>0.44318181818181818</v>
      </c>
      <c r="AS14" s="17">
        <f>47/107</f>
        <v>0.43925233644859812</v>
      </c>
      <c r="AT14" s="17">
        <f>70/125</f>
        <v>0.56000000000000005</v>
      </c>
      <c r="AU14" s="17">
        <f>40/68</f>
        <v>0.58823529411764708</v>
      </c>
      <c r="AV14" s="17">
        <f>86/139</f>
        <v>0.61870503597122306</v>
      </c>
      <c r="AW14" s="17">
        <f>95/130</f>
        <v>0.73076923076923073</v>
      </c>
      <c r="AX14" s="17">
        <f>82/109</f>
        <v>0.75229357798165142</v>
      </c>
      <c r="AY14" s="18">
        <f>196/241</f>
        <v>0.81327800829875518</v>
      </c>
    </row>
    <row r="15" spans="2:80" ht="15.75" thickBot="1" x14ac:dyDescent="0.3">
      <c r="B15" s="37">
        <v>4</v>
      </c>
      <c r="C15" s="3" t="s">
        <v>4</v>
      </c>
      <c r="D15" s="21">
        <v>0.63501742160278696</v>
      </c>
      <c r="E15" s="18">
        <v>7.1611219245679596</v>
      </c>
      <c r="H15" s="60" t="s">
        <v>23</v>
      </c>
      <c r="I15" s="93">
        <v>211.519512195121</v>
      </c>
      <c r="J15" s="91">
        <f>I15/48</f>
        <v>4.4066565040650207</v>
      </c>
      <c r="L15" s="77" t="s">
        <v>18</v>
      </c>
      <c r="M15" s="85">
        <f>M7/$P$7</f>
        <v>0.55203252032520322</v>
      </c>
      <c r="N15" s="86">
        <f t="shared" ref="N15:O15" si="12">N7/$P$7</f>
        <v>4.9593495934959347E-2</v>
      </c>
      <c r="O15" s="87">
        <f t="shared" si="12"/>
        <v>0.3983739837398374</v>
      </c>
      <c r="P15" s="90">
        <f>P7/$P$7</f>
        <v>1</v>
      </c>
      <c r="T15" s="7"/>
      <c r="U15" s="10" t="s">
        <v>34</v>
      </c>
      <c r="V15" s="10" t="s">
        <v>35</v>
      </c>
      <c r="W15" s="10" t="s">
        <v>36</v>
      </c>
      <c r="X15" s="10" t="s">
        <v>37</v>
      </c>
      <c r="Y15" s="10" t="s">
        <v>38</v>
      </c>
      <c r="Z15" s="10" t="s">
        <v>39</v>
      </c>
      <c r="AA15" s="10" t="s">
        <v>40</v>
      </c>
      <c r="AB15" s="10" t="s">
        <v>41</v>
      </c>
      <c r="AC15" s="29" t="s">
        <v>42</v>
      </c>
      <c r="AE15" s="7"/>
      <c r="AF15" s="28" t="s">
        <v>34</v>
      </c>
      <c r="AG15" s="28" t="s">
        <v>35</v>
      </c>
      <c r="AH15" s="28" t="s">
        <v>36</v>
      </c>
      <c r="AI15" s="28" t="s">
        <v>37</v>
      </c>
      <c r="AJ15" s="28" t="s">
        <v>38</v>
      </c>
      <c r="AK15" s="28" t="s">
        <v>39</v>
      </c>
      <c r="AL15" s="28" t="s">
        <v>40</v>
      </c>
      <c r="AM15" s="28" t="s">
        <v>41</v>
      </c>
      <c r="AN15" s="29" t="s">
        <v>42</v>
      </c>
      <c r="AP15" s="106" t="s">
        <v>46</v>
      </c>
      <c r="AQ15" s="51">
        <f>AF7</f>
        <v>0.29086168979063698</v>
      </c>
      <c r="AR15" s="52">
        <f>AG7</f>
        <v>0.36918371573563302</v>
      </c>
      <c r="AS15" s="52">
        <f t="shared" ref="AS15:AY15" si="13">AH7</f>
        <v>0.45336544481704899</v>
      </c>
      <c r="AT15" s="52">
        <f t="shared" si="13"/>
        <v>0.53970481129206205</v>
      </c>
      <c r="AU15" s="52">
        <f t="shared" si="13"/>
        <v>0.58243104326482498</v>
      </c>
      <c r="AV15" s="52">
        <f t="shared" si="13"/>
        <v>0.62420486202013903</v>
      </c>
      <c r="AW15" s="52">
        <f t="shared" si="13"/>
        <v>0.70312033609455404</v>
      </c>
      <c r="AX15" s="52">
        <f t="shared" si="13"/>
        <v>0.77344771513136301</v>
      </c>
      <c r="AY15" s="53">
        <f t="shared" si="13"/>
        <v>0.83325357158981295</v>
      </c>
    </row>
    <row r="16" spans="2:80" ht="15.75" thickBot="1" x14ac:dyDescent="0.3">
      <c r="B16" s="35" t="s">
        <v>0</v>
      </c>
      <c r="C16" s="5" t="s">
        <v>5</v>
      </c>
      <c r="D16" s="78">
        <f>SUM(D12:D15)</f>
        <v>3.8388501742160206</v>
      </c>
      <c r="E16" s="20">
        <v>13.0430575012874</v>
      </c>
      <c r="T16" s="8">
        <v>0</v>
      </c>
      <c r="U16" s="25"/>
      <c r="V16" s="25"/>
      <c r="W16" s="25"/>
      <c r="X16" s="25"/>
      <c r="Y16" s="38" t="s">
        <v>75</v>
      </c>
      <c r="Z16" s="25"/>
      <c r="AA16" s="25"/>
      <c r="AB16" s="25"/>
      <c r="AC16" s="26"/>
      <c r="AE16" s="8">
        <v>0</v>
      </c>
      <c r="AF16" s="25"/>
      <c r="AG16" s="25"/>
      <c r="AH16" s="25"/>
      <c r="AI16" s="25"/>
      <c r="AJ16" s="38" t="s">
        <v>95</v>
      </c>
      <c r="AK16" s="25"/>
      <c r="AL16" s="25"/>
      <c r="AM16" s="25"/>
      <c r="AN16" s="26"/>
      <c r="AP16" s="107"/>
      <c r="AQ16" s="48">
        <f>49/217</f>
        <v>0.22580645161290322</v>
      </c>
      <c r="AR16" s="49">
        <f>27/68</f>
        <v>0.39705882352941174</v>
      </c>
      <c r="AS16" s="17">
        <f>29/74</f>
        <v>0.39189189189189189</v>
      </c>
      <c r="AT16" s="17">
        <f>46/90</f>
        <v>0.51111111111111107</v>
      </c>
      <c r="AU16" s="17">
        <f>28/43</f>
        <v>0.65116279069767447</v>
      </c>
      <c r="AV16" s="17">
        <f>63/106</f>
        <v>0.59433962264150941</v>
      </c>
      <c r="AW16" s="17">
        <f>77/100</f>
        <v>0.77</v>
      </c>
      <c r="AX16" s="17">
        <f>61/84</f>
        <v>0.72619047619047616</v>
      </c>
      <c r="AY16" s="50">
        <f>324/366</f>
        <v>0.88524590163934425</v>
      </c>
    </row>
    <row r="17" spans="8:51" ht="15.75" thickBot="1" x14ac:dyDescent="0.3">
      <c r="H17" s="101" t="s">
        <v>64</v>
      </c>
      <c r="I17" s="102"/>
      <c r="T17" s="30">
        <v>0.25</v>
      </c>
      <c r="U17" s="38" t="s">
        <v>67</v>
      </c>
      <c r="V17" s="38" t="s">
        <v>68</v>
      </c>
      <c r="W17" s="38" t="s">
        <v>69</v>
      </c>
      <c r="X17" s="38" t="s">
        <v>70</v>
      </c>
      <c r="Y17" s="38" t="s">
        <v>43</v>
      </c>
      <c r="Z17" s="38" t="s">
        <v>71</v>
      </c>
      <c r="AA17" s="38" t="s">
        <v>72</v>
      </c>
      <c r="AB17" s="38" t="s">
        <v>73</v>
      </c>
      <c r="AC17" s="39" t="s">
        <v>74</v>
      </c>
      <c r="AE17" s="30">
        <v>0.25</v>
      </c>
      <c r="AF17" s="38" t="s">
        <v>96</v>
      </c>
      <c r="AG17" s="38" t="s">
        <v>97</v>
      </c>
      <c r="AH17" s="38" t="s">
        <v>98</v>
      </c>
      <c r="AI17" s="38" t="s">
        <v>99</v>
      </c>
      <c r="AJ17" s="38" t="s">
        <v>100</v>
      </c>
      <c r="AK17" s="38" t="s">
        <v>101</v>
      </c>
      <c r="AL17" s="38" t="s">
        <v>102</v>
      </c>
      <c r="AM17" s="38" t="s">
        <v>103</v>
      </c>
      <c r="AN17" s="39" t="s">
        <v>104</v>
      </c>
      <c r="AP17" s="105" t="s">
        <v>47</v>
      </c>
      <c r="AQ17" s="46">
        <f>AF8</f>
        <v>0.177169132948855</v>
      </c>
      <c r="AR17" s="17">
        <f>AG8</f>
        <v>0.267783392658276</v>
      </c>
      <c r="AS17" s="52">
        <f t="shared" ref="AS17:AY17" si="14">AH8</f>
        <v>0.37719572942014401</v>
      </c>
      <c r="AT17" s="52">
        <f t="shared" si="14"/>
        <v>0.49753550614689601</v>
      </c>
      <c r="AU17" s="52">
        <f t="shared" si="14"/>
        <v>0.55849739852005498</v>
      </c>
      <c r="AV17" s="52">
        <f t="shared" si="14"/>
        <v>0.61810170148327004</v>
      </c>
      <c r="AW17" s="52">
        <f t="shared" si="14"/>
        <v>0.72813277845060997</v>
      </c>
      <c r="AX17" s="52">
        <f t="shared" si="14"/>
        <v>0.81960270899707799</v>
      </c>
      <c r="AY17" s="18">
        <f t="shared" si="14"/>
        <v>0.888867728212133</v>
      </c>
    </row>
    <row r="18" spans="8:51" ht="15.75" thickBot="1" x14ac:dyDescent="0.3">
      <c r="H18" s="57" t="s">
        <v>8</v>
      </c>
      <c r="I18" s="58">
        <v>1148</v>
      </c>
      <c r="T18" s="30">
        <v>0.5</v>
      </c>
      <c r="U18" s="38" t="s">
        <v>76</v>
      </c>
      <c r="V18" s="38" t="s">
        <v>77</v>
      </c>
      <c r="W18" s="38" t="s">
        <v>78</v>
      </c>
      <c r="X18" s="38" t="s">
        <v>79</v>
      </c>
      <c r="Y18" s="38" t="s">
        <v>80</v>
      </c>
      <c r="Z18" s="38" t="s">
        <v>81</v>
      </c>
      <c r="AA18" s="38" t="s">
        <v>82</v>
      </c>
      <c r="AB18" s="38" t="s">
        <v>83</v>
      </c>
      <c r="AC18" s="39" t="s">
        <v>84</v>
      </c>
      <c r="AE18" s="30">
        <v>0.5</v>
      </c>
      <c r="AF18" s="38" t="s">
        <v>105</v>
      </c>
      <c r="AG18" s="38" t="s">
        <v>106</v>
      </c>
      <c r="AH18" s="38" t="s">
        <v>107</v>
      </c>
      <c r="AI18" s="38" t="s">
        <v>44</v>
      </c>
      <c r="AJ18" s="38" t="s">
        <v>108</v>
      </c>
      <c r="AK18" s="38" t="s">
        <v>109</v>
      </c>
      <c r="AL18" s="38" t="s">
        <v>110</v>
      </c>
      <c r="AM18" s="38" t="s">
        <v>111</v>
      </c>
      <c r="AN18" s="39" t="s">
        <v>112</v>
      </c>
      <c r="AP18" s="108"/>
      <c r="AQ18" s="47">
        <f>26/226</f>
        <v>0.11504424778761062</v>
      </c>
      <c r="AR18" s="19">
        <f>16/57</f>
        <v>0.2807017543859649</v>
      </c>
      <c r="AS18" s="19">
        <f>24/60</f>
        <v>0.4</v>
      </c>
      <c r="AT18" s="19">
        <f>32/78</f>
        <v>0.41025641025641024</v>
      </c>
      <c r="AU18" s="19">
        <f>21/38</f>
        <v>0.55263157894736847</v>
      </c>
      <c r="AV18" s="19">
        <f>49/88</f>
        <v>0.55681818181818177</v>
      </c>
      <c r="AW18" s="19">
        <f>57/89</f>
        <v>0.6404494382022472</v>
      </c>
      <c r="AX18" s="19">
        <f>53/68</f>
        <v>0.77941176470588236</v>
      </c>
      <c r="AY18" s="20">
        <f>426/444</f>
        <v>0.95945945945945943</v>
      </c>
    </row>
    <row r="19" spans="8:51" x14ac:dyDescent="0.25">
      <c r="H19" s="14" t="s">
        <v>9</v>
      </c>
      <c r="I19" s="4">
        <v>728</v>
      </c>
      <c r="T19" s="30">
        <v>0.75</v>
      </c>
      <c r="U19" s="38" t="s">
        <v>85</v>
      </c>
      <c r="V19" s="38" t="s">
        <v>86</v>
      </c>
      <c r="W19" s="38" t="s">
        <v>87</v>
      </c>
      <c r="X19" s="38" t="s">
        <v>88</v>
      </c>
      <c r="Y19" s="38" t="s">
        <v>89</v>
      </c>
      <c r="Z19" s="38" t="s">
        <v>90</v>
      </c>
      <c r="AA19" s="38" t="s">
        <v>91</v>
      </c>
      <c r="AB19" s="38" t="s">
        <v>92</v>
      </c>
      <c r="AC19" s="39" t="s">
        <v>93</v>
      </c>
      <c r="AE19" s="30">
        <v>0.75</v>
      </c>
      <c r="AF19" s="38" t="s">
        <v>113</v>
      </c>
      <c r="AG19" s="38" t="s">
        <v>114</v>
      </c>
      <c r="AH19" s="38" t="s">
        <v>115</v>
      </c>
      <c r="AI19" s="38" t="s">
        <v>116</v>
      </c>
      <c r="AJ19" s="38" t="s">
        <v>117</v>
      </c>
      <c r="AK19" s="38" t="s">
        <v>118</v>
      </c>
      <c r="AL19" s="38" t="s">
        <v>119</v>
      </c>
      <c r="AM19" s="38" t="s">
        <v>120</v>
      </c>
      <c r="AN19" s="39" t="s">
        <v>121</v>
      </c>
    </row>
    <row r="20" spans="8:51" ht="15.75" thickBot="1" x14ac:dyDescent="0.3">
      <c r="H20" s="14" t="s">
        <v>10</v>
      </c>
      <c r="I20" s="4">
        <v>420</v>
      </c>
      <c r="T20" s="32">
        <v>1</v>
      </c>
      <c r="U20" s="40"/>
      <c r="V20" s="40"/>
      <c r="W20" s="40"/>
      <c r="X20" s="40"/>
      <c r="Y20" s="41" t="s">
        <v>94</v>
      </c>
      <c r="Z20" s="40"/>
      <c r="AA20" s="40"/>
      <c r="AB20" s="40"/>
      <c r="AC20" s="42"/>
      <c r="AE20" s="32">
        <v>1</v>
      </c>
      <c r="AF20" s="40"/>
      <c r="AG20" s="40"/>
      <c r="AH20" s="40"/>
      <c r="AI20" s="40"/>
      <c r="AJ20" s="41"/>
      <c r="AK20" s="40"/>
      <c r="AL20" s="40"/>
      <c r="AM20" s="40"/>
      <c r="AN20" s="42"/>
    </row>
    <row r="21" spans="8:51" ht="15.75" thickBot="1" x14ac:dyDescent="0.3">
      <c r="H21" s="14" t="s">
        <v>6</v>
      </c>
      <c r="I21" s="59">
        <f>I19/I18</f>
        <v>0.63414634146341464</v>
      </c>
      <c r="L21" s="101" t="s">
        <v>66</v>
      </c>
      <c r="M21" s="104"/>
      <c r="N21" s="104"/>
      <c r="O21" s="104"/>
      <c r="P21" s="102"/>
    </row>
    <row r="22" spans="8:51" ht="15.75" thickBot="1" x14ac:dyDescent="0.3">
      <c r="H22" s="14" t="s">
        <v>7</v>
      </c>
      <c r="I22" s="59">
        <f>I20/I18</f>
        <v>0.36585365853658536</v>
      </c>
      <c r="L22" s="7" t="s">
        <v>14</v>
      </c>
      <c r="M22" s="28" t="s">
        <v>15</v>
      </c>
      <c r="N22" s="28" t="s">
        <v>16</v>
      </c>
      <c r="O22" s="28" t="s">
        <v>17</v>
      </c>
      <c r="P22" s="7" t="s">
        <v>18</v>
      </c>
      <c r="T22" s="98" t="s">
        <v>125</v>
      </c>
      <c r="U22" s="99"/>
      <c r="V22" s="99"/>
      <c r="W22" s="99"/>
      <c r="X22" s="99"/>
      <c r="Y22" s="99"/>
      <c r="Z22" s="99"/>
      <c r="AA22" s="99"/>
      <c r="AB22" s="99"/>
      <c r="AC22" s="100"/>
      <c r="AE22" s="98" t="s">
        <v>128</v>
      </c>
      <c r="AF22" s="99"/>
      <c r="AG22" s="99"/>
      <c r="AH22" s="99"/>
      <c r="AI22" s="99"/>
      <c r="AJ22" s="99"/>
      <c r="AK22" s="99"/>
      <c r="AL22" s="99"/>
      <c r="AM22" s="99"/>
      <c r="AN22" s="100"/>
    </row>
    <row r="23" spans="8:51" ht="15.75" thickBot="1" x14ac:dyDescent="0.3">
      <c r="H23" s="14" t="s">
        <v>11</v>
      </c>
      <c r="I23" s="4">
        <v>656</v>
      </c>
      <c r="L23" s="8" t="s">
        <v>15</v>
      </c>
      <c r="M23" s="3">
        <v>525</v>
      </c>
      <c r="N23" s="3">
        <v>26</v>
      </c>
      <c r="O23" s="3">
        <v>105</v>
      </c>
      <c r="P23" s="11">
        <v>656</v>
      </c>
      <c r="T23" s="7"/>
      <c r="U23" s="98" t="s">
        <v>26</v>
      </c>
      <c r="V23" s="99"/>
      <c r="W23" s="99"/>
      <c r="X23" s="99"/>
      <c r="Y23" s="99"/>
      <c r="Z23" s="99"/>
      <c r="AA23" s="99"/>
      <c r="AB23" s="99"/>
      <c r="AC23" s="100"/>
      <c r="AE23" s="7"/>
      <c r="AF23" s="98" t="s">
        <v>26</v>
      </c>
      <c r="AG23" s="99"/>
      <c r="AH23" s="99"/>
      <c r="AI23" s="99"/>
      <c r="AJ23" s="99"/>
      <c r="AK23" s="99"/>
      <c r="AL23" s="99"/>
      <c r="AM23" s="99"/>
      <c r="AN23" s="100"/>
    </row>
    <row r="24" spans="8:51" ht="15.75" thickBot="1" x14ac:dyDescent="0.3">
      <c r="H24" s="14" t="s">
        <v>12</v>
      </c>
      <c r="I24" s="4">
        <v>449</v>
      </c>
      <c r="L24" s="8" t="s">
        <v>16</v>
      </c>
      <c r="M24" s="3">
        <v>28</v>
      </c>
      <c r="N24" s="3">
        <v>1</v>
      </c>
      <c r="O24" s="3">
        <v>14</v>
      </c>
      <c r="P24" s="11">
        <v>43</v>
      </c>
      <c r="T24" s="7" t="s">
        <v>25</v>
      </c>
      <c r="U24" s="10" t="s">
        <v>29</v>
      </c>
      <c r="V24" s="10" t="s">
        <v>30</v>
      </c>
      <c r="W24" s="10" t="s">
        <v>31</v>
      </c>
      <c r="X24" s="10" t="s">
        <v>32</v>
      </c>
      <c r="Y24" s="10">
        <v>0</v>
      </c>
      <c r="Z24" s="10" t="s">
        <v>33</v>
      </c>
      <c r="AA24" s="10">
        <v>3</v>
      </c>
      <c r="AB24" s="10">
        <v>5</v>
      </c>
      <c r="AC24" s="29">
        <v>7</v>
      </c>
      <c r="AE24" s="7" t="s">
        <v>25</v>
      </c>
      <c r="AF24" s="28" t="s">
        <v>29</v>
      </c>
      <c r="AG24" s="28" t="s">
        <v>30</v>
      </c>
      <c r="AH24" s="28" t="s">
        <v>31</v>
      </c>
      <c r="AI24" s="28" t="s">
        <v>32</v>
      </c>
      <c r="AJ24" s="28">
        <v>0</v>
      </c>
      <c r="AK24" s="28" t="s">
        <v>33</v>
      </c>
      <c r="AL24" s="28">
        <v>3</v>
      </c>
      <c r="AM24" s="28">
        <v>5</v>
      </c>
      <c r="AN24" s="29">
        <v>7</v>
      </c>
    </row>
    <row r="25" spans="8:51" ht="15.75" thickBot="1" x14ac:dyDescent="0.3">
      <c r="H25" s="14" t="s">
        <v>13</v>
      </c>
      <c r="I25" s="4">
        <v>43</v>
      </c>
      <c r="L25" s="9" t="s">
        <v>17</v>
      </c>
      <c r="M25" s="5">
        <v>151</v>
      </c>
      <c r="N25" s="5">
        <v>22</v>
      </c>
      <c r="O25" s="5">
        <v>276</v>
      </c>
      <c r="P25" s="12">
        <v>449</v>
      </c>
      <c r="T25" s="7"/>
      <c r="U25" s="10" t="s">
        <v>34</v>
      </c>
      <c r="V25" s="10" t="s">
        <v>35</v>
      </c>
      <c r="W25" s="10" t="s">
        <v>36</v>
      </c>
      <c r="X25" s="10" t="s">
        <v>37</v>
      </c>
      <c r="Y25" s="10" t="s">
        <v>38</v>
      </c>
      <c r="Z25" s="10" t="s">
        <v>39</v>
      </c>
      <c r="AA25" s="10" t="s">
        <v>40</v>
      </c>
      <c r="AB25" s="10" t="s">
        <v>41</v>
      </c>
      <c r="AC25" s="29" t="s">
        <v>42</v>
      </c>
      <c r="AE25" s="7"/>
      <c r="AF25" s="28" t="s">
        <v>34</v>
      </c>
      <c r="AG25" s="28" t="s">
        <v>35</v>
      </c>
      <c r="AH25" s="28" t="s">
        <v>36</v>
      </c>
      <c r="AI25" s="28" t="s">
        <v>37</v>
      </c>
      <c r="AJ25" s="28" t="s">
        <v>38</v>
      </c>
      <c r="AK25" s="28" t="s">
        <v>39</v>
      </c>
      <c r="AL25" s="28" t="s">
        <v>40</v>
      </c>
      <c r="AM25" s="28" t="s">
        <v>41</v>
      </c>
      <c r="AN25" s="29" t="s">
        <v>42</v>
      </c>
    </row>
    <row r="26" spans="8:51" ht="15.75" thickBot="1" x14ac:dyDescent="0.3">
      <c r="H26" s="14" t="s">
        <v>21</v>
      </c>
      <c r="I26" s="92">
        <v>80.957317073170699</v>
      </c>
      <c r="L26" s="9" t="s">
        <v>18</v>
      </c>
      <c r="M26" s="5">
        <v>704</v>
      </c>
      <c r="N26" s="5">
        <v>49</v>
      </c>
      <c r="O26" s="5">
        <v>395</v>
      </c>
      <c r="P26" s="12">
        <v>1148</v>
      </c>
      <c r="T26" s="8">
        <v>0</v>
      </c>
      <c r="U26" s="25"/>
      <c r="V26" s="25"/>
      <c r="W26" s="25"/>
      <c r="X26" s="25"/>
      <c r="Y26" s="17">
        <f>679/1230</f>
        <v>0.55203252032520322</v>
      </c>
      <c r="Z26" s="25"/>
      <c r="AA26" s="25"/>
      <c r="AB26" s="25"/>
      <c r="AC26" s="26"/>
      <c r="AE26" s="8">
        <v>0</v>
      </c>
      <c r="AF26" s="25"/>
      <c r="AG26" s="25"/>
      <c r="AH26" s="25"/>
      <c r="AI26" s="25"/>
      <c r="AJ26" s="17">
        <f>704/1148</f>
        <v>0.61324041811846686</v>
      </c>
      <c r="AK26" s="25"/>
      <c r="AL26" s="25"/>
      <c r="AM26" s="25"/>
      <c r="AN26" s="26"/>
    </row>
    <row r="27" spans="8:51" x14ac:dyDescent="0.25">
      <c r="H27" s="36" t="s">
        <v>24</v>
      </c>
      <c r="I27" s="92">
        <v>10.621034406849301</v>
      </c>
      <c r="L27" s="67" t="s">
        <v>19</v>
      </c>
      <c r="M27" s="1">
        <f>(M23+O25)/(P23+P25)</f>
        <v>0.72488687782805428</v>
      </c>
      <c r="N27" t="s">
        <v>20</v>
      </c>
      <c r="T27" s="30">
        <v>0.25</v>
      </c>
      <c r="U27" s="17">
        <f>76/245</f>
        <v>0.31020408163265306</v>
      </c>
      <c r="V27" s="17">
        <f>30/84</f>
        <v>0.35714285714285715</v>
      </c>
      <c r="W27" s="17">
        <f>49/112</f>
        <v>0.4375</v>
      </c>
      <c r="X27" s="17">
        <f>61/110</f>
        <v>0.55454545454545456</v>
      </c>
      <c r="Y27" s="17">
        <f>35/55</f>
        <v>0.63636363636363635</v>
      </c>
      <c r="Z27" s="17">
        <f>61/119</f>
        <v>0.51260504201680668</v>
      </c>
      <c r="AA27" s="17">
        <f>83/118</f>
        <v>0.70338983050847459</v>
      </c>
      <c r="AB27" s="17">
        <f>63/95</f>
        <v>0.66315789473684206</v>
      </c>
      <c r="AC27" s="18">
        <f>221/292</f>
        <v>0.75684931506849318</v>
      </c>
      <c r="AE27" s="30">
        <v>0.25</v>
      </c>
      <c r="AF27" s="17">
        <f>49/141</f>
        <v>0.3475177304964539</v>
      </c>
      <c r="AG27" s="17">
        <f>39/88</f>
        <v>0.44318181818181818</v>
      </c>
      <c r="AH27" s="17">
        <f>47/107</f>
        <v>0.43925233644859812</v>
      </c>
      <c r="AI27" s="17">
        <f>70/125</f>
        <v>0.56000000000000005</v>
      </c>
      <c r="AJ27" s="17">
        <f>40/68</f>
        <v>0.58823529411764708</v>
      </c>
      <c r="AK27" s="17">
        <f>86/139</f>
        <v>0.61870503597122306</v>
      </c>
      <c r="AL27" s="17">
        <f>95/130</f>
        <v>0.73076923076923073</v>
      </c>
      <c r="AM27" s="17">
        <f>82/109</f>
        <v>0.75229357798165142</v>
      </c>
      <c r="AN27" s="18">
        <f>196/241</f>
        <v>0.81327800829875518</v>
      </c>
    </row>
    <row r="28" spans="8:51" ht="15.75" thickBot="1" x14ac:dyDescent="0.3">
      <c r="H28" s="14" t="s">
        <v>22</v>
      </c>
      <c r="I28" s="92">
        <v>77.118466898954694</v>
      </c>
      <c r="T28" s="30">
        <v>0.5</v>
      </c>
      <c r="U28" s="17">
        <f>59/285</f>
        <v>0.20701754385964913</v>
      </c>
      <c r="V28" s="17">
        <f>23/68</f>
        <v>0.33823529411764708</v>
      </c>
      <c r="W28" s="17">
        <f>37/86</f>
        <v>0.43023255813953487</v>
      </c>
      <c r="X28" s="17">
        <f>54/99</f>
        <v>0.54545454545454541</v>
      </c>
      <c r="Y28" s="17">
        <f>30/58</f>
        <v>0.51724137931034486</v>
      </c>
      <c r="Z28" s="17">
        <f>57/93</f>
        <v>0.61290322580645162</v>
      </c>
      <c r="AA28" s="17">
        <f>48/82</f>
        <v>0.58536585365853655</v>
      </c>
      <c r="AB28" s="17">
        <f>68/94</f>
        <v>0.72340425531914898</v>
      </c>
      <c r="AC28" s="18">
        <f>303/365</f>
        <v>0.83013698630136989</v>
      </c>
      <c r="AE28" s="30">
        <v>0.5</v>
      </c>
      <c r="AF28" s="17">
        <f>49/217</f>
        <v>0.22580645161290322</v>
      </c>
      <c r="AG28" s="17">
        <f>27/68</f>
        <v>0.39705882352941174</v>
      </c>
      <c r="AH28" s="17">
        <f>29/74</f>
        <v>0.39189189189189189</v>
      </c>
      <c r="AI28" s="17">
        <f>46/90</f>
        <v>0.51111111111111107</v>
      </c>
      <c r="AJ28" s="17">
        <f>28/43</f>
        <v>0.65116279069767447</v>
      </c>
      <c r="AK28" s="17">
        <f>63/106</f>
        <v>0.59433962264150941</v>
      </c>
      <c r="AL28" s="17">
        <f>77/100</f>
        <v>0.77</v>
      </c>
      <c r="AM28" s="17">
        <f>61/84</f>
        <v>0.72619047619047616</v>
      </c>
      <c r="AN28" s="18">
        <f>324/366</f>
        <v>0.88524590163934425</v>
      </c>
    </row>
    <row r="29" spans="8:51" ht="15.75" thickBot="1" x14ac:dyDescent="0.3">
      <c r="H29" s="36" t="s">
        <v>24</v>
      </c>
      <c r="I29" s="92">
        <v>10.925757561501699</v>
      </c>
      <c r="L29" s="101" t="s">
        <v>66</v>
      </c>
      <c r="M29" s="104"/>
      <c r="N29" s="104"/>
      <c r="O29" s="104"/>
      <c r="P29" s="102"/>
      <c r="T29" s="30">
        <v>0.75</v>
      </c>
      <c r="U29" s="17">
        <f>33/321</f>
        <v>0.10280373831775701</v>
      </c>
      <c r="V29" s="17">
        <f>14/53</f>
        <v>0.26415094339622641</v>
      </c>
      <c r="W29" s="17">
        <f>19/77</f>
        <v>0.24675324675324675</v>
      </c>
      <c r="X29" s="17">
        <f>45/90</f>
        <v>0.5</v>
      </c>
      <c r="Y29" s="17">
        <f>26/45</f>
        <v>0.57777777777777772</v>
      </c>
      <c r="Z29" s="17">
        <f>49/74</f>
        <v>0.66216216216216217</v>
      </c>
      <c r="AA29" s="17">
        <f>58/93</f>
        <v>0.62365591397849462</v>
      </c>
      <c r="AB29" s="17">
        <f>42/55</f>
        <v>0.76363636363636367</v>
      </c>
      <c r="AC29" s="18">
        <f>393/422</f>
        <v>0.93127962085308058</v>
      </c>
      <c r="AE29" s="30">
        <v>0.75</v>
      </c>
      <c r="AF29" s="17">
        <f>26/226</f>
        <v>0.11504424778761062</v>
      </c>
      <c r="AG29" s="17">
        <f>16/57</f>
        <v>0.2807017543859649</v>
      </c>
      <c r="AH29" s="17">
        <f>24/60</f>
        <v>0.4</v>
      </c>
      <c r="AI29" s="17">
        <f>32/78</f>
        <v>0.41025641025641024</v>
      </c>
      <c r="AJ29" s="17">
        <f>21/38</f>
        <v>0.55263157894736847</v>
      </c>
      <c r="AK29" s="17">
        <f>49/88</f>
        <v>0.55681818181818177</v>
      </c>
      <c r="AL29" s="17">
        <f>57/89</f>
        <v>0.6404494382022472</v>
      </c>
      <c r="AM29" s="17">
        <f>53/68</f>
        <v>0.77941176470588236</v>
      </c>
      <c r="AN29" s="18">
        <f>426/444</f>
        <v>0.95945945945945943</v>
      </c>
    </row>
    <row r="30" spans="8:51" ht="15.75" thickBot="1" x14ac:dyDescent="0.3">
      <c r="H30" s="60" t="s">
        <v>23</v>
      </c>
      <c r="I30" s="20">
        <v>158.07578397212501</v>
      </c>
      <c r="J30" s="91">
        <f>I30/40</f>
        <v>3.9518945993031251</v>
      </c>
      <c r="L30" s="7" t="s">
        <v>14</v>
      </c>
      <c r="M30" s="75" t="s">
        <v>15</v>
      </c>
      <c r="N30" s="75" t="s">
        <v>16</v>
      </c>
      <c r="O30" s="75" t="s">
        <v>17</v>
      </c>
      <c r="P30" s="7" t="s">
        <v>18</v>
      </c>
      <c r="T30" s="32">
        <v>1</v>
      </c>
      <c r="U30" s="5"/>
      <c r="V30" s="5"/>
      <c r="W30" s="5"/>
      <c r="X30" s="5"/>
      <c r="Y30" s="61">
        <f>33/61</f>
        <v>0.54098360655737709</v>
      </c>
      <c r="Z30" s="5"/>
      <c r="AA30" s="5"/>
      <c r="AB30" s="5"/>
      <c r="AC30" s="6"/>
      <c r="AE30" s="32">
        <v>1</v>
      </c>
      <c r="AF30" s="5"/>
      <c r="AG30" s="5"/>
      <c r="AH30" s="5"/>
      <c r="AI30" s="5"/>
      <c r="AJ30" s="61"/>
      <c r="AK30" s="5"/>
      <c r="AL30" s="5"/>
      <c r="AM30" s="5"/>
      <c r="AN30" s="6"/>
    </row>
    <row r="31" spans="8:51" ht="15.75" thickBot="1" x14ac:dyDescent="0.3">
      <c r="L31" s="8" t="s">
        <v>15</v>
      </c>
      <c r="M31" s="79">
        <f>M23/$P$26</f>
        <v>0.45731707317073172</v>
      </c>
      <c r="N31" s="80">
        <f t="shared" ref="N31:O31" si="15">N23/$P$26</f>
        <v>2.2648083623693381E-2</v>
      </c>
      <c r="O31" s="81">
        <f t="shared" si="15"/>
        <v>9.1463414634146339E-2</v>
      </c>
      <c r="P31" s="81">
        <f>P23/$P$26</f>
        <v>0.5714285714285714</v>
      </c>
    </row>
    <row r="32" spans="8:51" ht="15.75" thickBot="1" x14ac:dyDescent="0.3">
      <c r="L32" s="8" t="s">
        <v>16</v>
      </c>
      <c r="M32" s="82">
        <f t="shared" ref="M32:P32" si="16">M24/$P$26</f>
        <v>2.4390243902439025E-2</v>
      </c>
      <c r="N32" s="83">
        <f t="shared" si="16"/>
        <v>8.710801393728223E-4</v>
      </c>
      <c r="O32" s="84">
        <f t="shared" si="16"/>
        <v>1.2195121951219513E-2</v>
      </c>
      <c r="P32" s="84">
        <f t="shared" si="16"/>
        <v>3.7456445993031356E-2</v>
      </c>
      <c r="T32" s="98" t="s">
        <v>126</v>
      </c>
      <c r="U32" s="99"/>
      <c r="V32" s="99"/>
      <c r="W32" s="99"/>
      <c r="X32" s="99"/>
      <c r="Y32" s="99"/>
      <c r="Z32" s="99"/>
      <c r="AA32" s="99"/>
      <c r="AB32" s="99"/>
      <c r="AC32" s="100"/>
      <c r="AE32" s="98" t="s">
        <v>129</v>
      </c>
      <c r="AF32" s="99"/>
      <c r="AG32" s="99"/>
      <c r="AH32" s="99"/>
      <c r="AI32" s="99"/>
      <c r="AJ32" s="99"/>
      <c r="AK32" s="99"/>
      <c r="AL32" s="99"/>
      <c r="AM32" s="99"/>
      <c r="AN32" s="100"/>
    </row>
    <row r="33" spans="12:40" ht="15.75" thickBot="1" x14ac:dyDescent="0.3">
      <c r="L33" s="9" t="s">
        <v>17</v>
      </c>
      <c r="M33" s="85">
        <f t="shared" ref="M33:P33" si="17">M25/$P$26</f>
        <v>0.13153310104529617</v>
      </c>
      <c r="N33" s="86">
        <f t="shared" si="17"/>
        <v>1.9163763066202089E-2</v>
      </c>
      <c r="O33" s="87">
        <f t="shared" si="17"/>
        <v>0.24041811846689895</v>
      </c>
      <c r="P33" s="87">
        <f t="shared" si="17"/>
        <v>0.39111498257839722</v>
      </c>
      <c r="T33" s="7"/>
      <c r="U33" s="98" t="s">
        <v>26</v>
      </c>
      <c r="V33" s="99"/>
      <c r="W33" s="99"/>
      <c r="X33" s="99"/>
      <c r="Y33" s="99"/>
      <c r="Z33" s="99"/>
      <c r="AA33" s="99"/>
      <c r="AB33" s="99"/>
      <c r="AC33" s="100"/>
      <c r="AE33" s="7"/>
      <c r="AF33" s="98" t="s">
        <v>26</v>
      </c>
      <c r="AG33" s="99"/>
      <c r="AH33" s="99"/>
      <c r="AI33" s="99"/>
      <c r="AJ33" s="99"/>
      <c r="AK33" s="99"/>
      <c r="AL33" s="99"/>
      <c r="AM33" s="99"/>
      <c r="AN33" s="100"/>
    </row>
    <row r="34" spans="12:40" ht="15.75" thickBot="1" x14ac:dyDescent="0.3">
      <c r="L34" s="9" t="s">
        <v>18</v>
      </c>
      <c r="M34" s="85">
        <f>M26/$P$26</f>
        <v>0.61324041811846686</v>
      </c>
      <c r="N34" s="86">
        <f t="shared" ref="N34:O34" si="18">N26/$P$26</f>
        <v>4.2682926829268296E-2</v>
      </c>
      <c r="O34" s="87">
        <f t="shared" si="18"/>
        <v>0.34407665505226481</v>
      </c>
      <c r="P34" s="23">
        <f>P26/$P$26</f>
        <v>1</v>
      </c>
      <c r="T34" s="7" t="s">
        <v>25</v>
      </c>
      <c r="U34" s="28">
        <v>-7</v>
      </c>
      <c r="V34" s="28">
        <v>-5</v>
      </c>
      <c r="W34" s="28">
        <v>-3</v>
      </c>
      <c r="X34" s="28">
        <v>-1</v>
      </c>
      <c r="Y34" s="28">
        <v>0</v>
      </c>
      <c r="Z34" s="28">
        <v>1</v>
      </c>
      <c r="AA34" s="28">
        <v>3</v>
      </c>
      <c r="AB34" s="28">
        <v>5</v>
      </c>
      <c r="AC34" s="29">
        <v>7</v>
      </c>
      <c r="AE34" s="7" t="s">
        <v>25</v>
      </c>
      <c r="AF34" s="28">
        <v>-7</v>
      </c>
      <c r="AG34" s="28">
        <v>-5</v>
      </c>
      <c r="AH34" s="28">
        <v>-3</v>
      </c>
      <c r="AI34" s="28">
        <v>-1</v>
      </c>
      <c r="AJ34" s="28">
        <v>0</v>
      </c>
      <c r="AK34" s="28">
        <v>1</v>
      </c>
      <c r="AL34" s="28">
        <v>3</v>
      </c>
      <c r="AM34" s="28">
        <v>5</v>
      </c>
      <c r="AN34" s="29">
        <v>7</v>
      </c>
    </row>
    <row r="35" spans="12:40" x14ac:dyDescent="0.25">
      <c r="T35" s="8">
        <v>0</v>
      </c>
      <c r="U35" s="33"/>
      <c r="V35" s="33"/>
      <c r="W35" s="33"/>
      <c r="X35" s="33"/>
      <c r="Y35" s="17">
        <v>0.55970837423862296</v>
      </c>
      <c r="Z35" s="33"/>
      <c r="AA35" s="33"/>
      <c r="AB35" s="33"/>
      <c r="AC35" s="34"/>
      <c r="AE35" s="8">
        <v>0</v>
      </c>
      <c r="AF35" s="33"/>
      <c r="AG35" s="33"/>
      <c r="AH35" s="33"/>
      <c r="AI35" s="33"/>
      <c r="AJ35" s="17">
        <v>0.61566122849429195</v>
      </c>
      <c r="AK35" s="33"/>
      <c r="AL35" s="33"/>
      <c r="AM35" s="33"/>
      <c r="AN35" s="34"/>
    </row>
    <row r="36" spans="12:40" x14ac:dyDescent="0.25">
      <c r="T36" s="30">
        <v>0.25</v>
      </c>
      <c r="U36" s="17">
        <v>0.32161396711854001</v>
      </c>
      <c r="V36" s="17">
        <v>0.38449879711885099</v>
      </c>
      <c r="W36" s="17">
        <v>0.450585450888632</v>
      </c>
      <c r="X36" s="17">
        <v>0.51807453286067096</v>
      </c>
      <c r="Y36" s="17">
        <v>0.55174591776672</v>
      </c>
      <c r="Z36" s="17">
        <v>0.585048368115622</v>
      </c>
      <c r="AA36" s="17">
        <v>0.64963292849186605</v>
      </c>
      <c r="AB36" s="17">
        <v>0.71015365449874301</v>
      </c>
      <c r="AC36" s="18">
        <v>0.76526378293161201</v>
      </c>
      <c r="AE36" s="30">
        <v>0.25</v>
      </c>
      <c r="AF36" s="17">
        <v>0.35775641010914999</v>
      </c>
      <c r="AG36" s="17">
        <v>0.425604570671822</v>
      </c>
      <c r="AH36" s="17">
        <v>0.49573560541598</v>
      </c>
      <c r="AI36" s="17">
        <v>0.56599902443502803</v>
      </c>
      <c r="AJ36" s="17">
        <v>0.60049948556695998</v>
      </c>
      <c r="AK36" s="17">
        <v>0.63423213569056602</v>
      </c>
      <c r="AL36" s="17">
        <v>0.69845769980885297</v>
      </c>
      <c r="AM36" s="17">
        <v>0.75705363972417405</v>
      </c>
      <c r="AN36" s="18">
        <v>0.80887084037748302</v>
      </c>
    </row>
    <row r="37" spans="12:40" x14ac:dyDescent="0.25">
      <c r="T37" s="30">
        <v>0.5</v>
      </c>
      <c r="U37" s="17">
        <v>0.26759153111025602</v>
      </c>
      <c r="V37" s="17">
        <v>0.339947064173518</v>
      </c>
      <c r="W37" s="17">
        <v>0.418746306315883</v>
      </c>
      <c r="X37" s="17">
        <v>0.50095906851376504</v>
      </c>
      <c r="Y37" s="17">
        <v>0.54227107849170497</v>
      </c>
      <c r="Z37" s="17">
        <v>0.58313097610057896</v>
      </c>
      <c r="AA37" s="17">
        <v>0.66181280164655898</v>
      </c>
      <c r="AB37" s="17">
        <v>0.73398873215236005</v>
      </c>
      <c r="AC37" s="18">
        <v>0.79741617643472795</v>
      </c>
      <c r="AE37" s="30">
        <v>0.5</v>
      </c>
      <c r="AF37" s="17">
        <v>0.29113899504431001</v>
      </c>
      <c r="AG37" s="17">
        <v>0.36936878104096699</v>
      </c>
      <c r="AH37" s="17">
        <v>0.453433613248657</v>
      </c>
      <c r="AI37" s="17">
        <v>0.53964669911427499</v>
      </c>
      <c r="AJ37" s="17">
        <v>0.58231173285003501</v>
      </c>
      <c r="AK37" s="17">
        <v>0.62402847862021704</v>
      </c>
      <c r="AL37" s="17">
        <v>0.70284927231460903</v>
      </c>
      <c r="AM37" s="17">
        <v>0.77311596499727198</v>
      </c>
      <c r="AN37" s="18">
        <v>0.83289855462587603</v>
      </c>
    </row>
    <row r="38" spans="12:40" x14ac:dyDescent="0.25">
      <c r="T38" s="30">
        <v>0.75</v>
      </c>
      <c r="U38" s="17">
        <v>0.17086426438914401</v>
      </c>
      <c r="V38" s="17">
        <v>0.25536796164638198</v>
      </c>
      <c r="W38" s="17">
        <v>0.35769388196176799</v>
      </c>
      <c r="X38" s="17">
        <v>0.47147291454696699</v>
      </c>
      <c r="Y38" s="17">
        <v>0.52987795462790999</v>
      </c>
      <c r="Z38" s="17">
        <v>0.58764610422778096</v>
      </c>
      <c r="AA38" s="17">
        <v>0.69656839891922995</v>
      </c>
      <c r="AB38" s="17">
        <v>0.79034501485150299</v>
      </c>
      <c r="AC38" s="18">
        <v>0.864482623519646</v>
      </c>
      <c r="AE38" s="30">
        <v>0.75</v>
      </c>
      <c r="AF38" s="17">
        <v>0.17787559993664601</v>
      </c>
      <c r="AG38" s="17">
        <v>0.26838219372998201</v>
      </c>
      <c r="AH38" s="17">
        <v>0.37754454194832798</v>
      </c>
      <c r="AI38" s="17">
        <v>0.49754273876198002</v>
      </c>
      <c r="AJ38" s="17">
        <v>0.55832695638693597</v>
      </c>
      <c r="AK38" s="17">
        <v>0.61776539360389104</v>
      </c>
      <c r="AL38" s="17">
        <v>0.727541459397683</v>
      </c>
      <c r="AM38" s="17">
        <v>0.81889770522135896</v>
      </c>
      <c r="AN38" s="18">
        <v>0.88818873442733304</v>
      </c>
    </row>
    <row r="39" spans="12:40" x14ac:dyDescent="0.25">
      <c r="T39" s="31" t="s">
        <v>27</v>
      </c>
      <c r="U39" s="17">
        <v>5.8430290212418703E-2</v>
      </c>
      <c r="V39" s="17">
        <v>0.13424414969807799</v>
      </c>
      <c r="W39" s="17">
        <v>0.25945247203306898</v>
      </c>
      <c r="X39" s="17">
        <v>0.42719084104493499</v>
      </c>
      <c r="Y39" s="17">
        <v>0.51883077640471897</v>
      </c>
      <c r="Z39" s="17">
        <v>0.60948210011413195</v>
      </c>
      <c r="AA39" s="24">
        <v>0.77019068941273605</v>
      </c>
      <c r="AB39" s="17">
        <v>0.88512340382285004</v>
      </c>
      <c r="AC39" s="18">
        <v>0.95179750505474103</v>
      </c>
      <c r="AE39" s="31" t="s">
        <v>27</v>
      </c>
      <c r="AF39" s="17">
        <v>5.5647339078512201E-2</v>
      </c>
      <c r="AG39" s="17">
        <v>0.13328319419954801</v>
      </c>
      <c r="AH39" s="17">
        <v>0.26446641633101298</v>
      </c>
      <c r="AI39" s="17">
        <v>0.44105970115021598</v>
      </c>
      <c r="AJ39" s="17">
        <v>0.53680639714703204</v>
      </c>
      <c r="AK39" s="17">
        <v>0.63045779959667603</v>
      </c>
      <c r="AL39" s="24">
        <v>0.79229883618039498</v>
      </c>
      <c r="AM39" s="17">
        <v>0.90247805403760395</v>
      </c>
      <c r="AN39" s="18">
        <v>0.96223326149559996</v>
      </c>
    </row>
    <row r="40" spans="12:40" ht="15.75" thickBot="1" x14ac:dyDescent="0.3">
      <c r="T40" s="32">
        <v>1</v>
      </c>
      <c r="U40" s="5">
        <v>0</v>
      </c>
      <c r="V40" s="5">
        <v>0</v>
      </c>
      <c r="W40" s="5">
        <v>0</v>
      </c>
      <c r="X40" s="5">
        <v>0</v>
      </c>
      <c r="Y40" s="27" t="s">
        <v>28</v>
      </c>
      <c r="Z40" s="5">
        <v>1</v>
      </c>
      <c r="AA40" s="5">
        <v>1</v>
      </c>
      <c r="AB40" s="5">
        <v>1</v>
      </c>
      <c r="AC40" s="6">
        <v>1</v>
      </c>
      <c r="AE40" s="32">
        <v>1</v>
      </c>
      <c r="AF40" s="5">
        <v>0</v>
      </c>
      <c r="AG40" s="5">
        <v>0</v>
      </c>
      <c r="AH40" s="5">
        <v>0</v>
      </c>
      <c r="AI40" s="5">
        <v>0</v>
      </c>
      <c r="AJ40" s="27" t="s">
        <v>28</v>
      </c>
      <c r="AK40" s="5">
        <v>1</v>
      </c>
      <c r="AL40" s="5">
        <v>1</v>
      </c>
      <c r="AM40" s="5">
        <v>1</v>
      </c>
      <c r="AN40" s="6">
        <v>1</v>
      </c>
    </row>
    <row r="41" spans="12:40" ht="15.75" thickBot="1" x14ac:dyDescent="0.3"/>
    <row r="42" spans="12:40" ht="15.75" thickBot="1" x14ac:dyDescent="0.3">
      <c r="T42" s="98" t="s">
        <v>154</v>
      </c>
      <c r="U42" s="99"/>
      <c r="V42" s="99"/>
      <c r="W42" s="99"/>
      <c r="X42" s="99"/>
      <c r="Y42" s="99"/>
      <c r="Z42" s="99"/>
      <c r="AA42" s="99"/>
      <c r="AB42" s="99"/>
      <c r="AC42" s="100"/>
      <c r="AE42" s="98" t="s">
        <v>153</v>
      </c>
      <c r="AF42" s="99"/>
      <c r="AG42" s="99"/>
      <c r="AH42" s="99"/>
      <c r="AI42" s="99"/>
      <c r="AJ42" s="99"/>
      <c r="AK42" s="99"/>
      <c r="AL42" s="99"/>
      <c r="AM42" s="99"/>
      <c r="AN42" s="100"/>
    </row>
    <row r="43" spans="12:40" ht="15.75" thickBot="1" x14ac:dyDescent="0.3">
      <c r="T43" s="7"/>
      <c r="U43" s="98" t="s">
        <v>26</v>
      </c>
      <c r="V43" s="99"/>
      <c r="W43" s="99"/>
      <c r="X43" s="99"/>
      <c r="Y43" s="99"/>
      <c r="Z43" s="99"/>
      <c r="AA43" s="99"/>
      <c r="AB43" s="99"/>
      <c r="AC43" s="100"/>
      <c r="AE43" s="7"/>
      <c r="AF43" s="98" t="s">
        <v>26</v>
      </c>
      <c r="AG43" s="99"/>
      <c r="AH43" s="99"/>
      <c r="AI43" s="99"/>
      <c r="AJ43" s="99"/>
      <c r="AK43" s="99"/>
      <c r="AL43" s="99"/>
      <c r="AM43" s="99"/>
      <c r="AN43" s="100"/>
    </row>
    <row r="44" spans="12:40" ht="15.75" thickBot="1" x14ac:dyDescent="0.3">
      <c r="T44" s="7" t="s">
        <v>25</v>
      </c>
      <c r="U44" s="75">
        <v>-7</v>
      </c>
      <c r="V44" s="75">
        <v>-5</v>
      </c>
      <c r="W44" s="75">
        <v>-3</v>
      </c>
      <c r="X44" s="75">
        <v>-1</v>
      </c>
      <c r="Y44" s="75">
        <v>0</v>
      </c>
      <c r="Z44" s="75">
        <v>1</v>
      </c>
      <c r="AA44" s="75">
        <v>3</v>
      </c>
      <c r="AB44" s="75">
        <v>5</v>
      </c>
      <c r="AC44" s="29">
        <v>7</v>
      </c>
      <c r="AE44" s="7" t="s">
        <v>25</v>
      </c>
      <c r="AF44" s="75">
        <v>-7</v>
      </c>
      <c r="AG44" s="75">
        <v>-5</v>
      </c>
      <c r="AH44" s="75">
        <v>-3</v>
      </c>
      <c r="AI44" s="75">
        <v>-1</v>
      </c>
      <c r="AJ44" s="75">
        <v>0</v>
      </c>
      <c r="AK44" s="75">
        <v>1</v>
      </c>
      <c r="AL44" s="75">
        <v>3</v>
      </c>
      <c r="AM44" s="75">
        <v>5</v>
      </c>
      <c r="AN44" s="29">
        <v>7</v>
      </c>
    </row>
    <row r="45" spans="12:40" x14ac:dyDescent="0.25">
      <c r="T45" s="8">
        <v>0</v>
      </c>
      <c r="U45" s="33"/>
      <c r="V45" s="33"/>
      <c r="W45" s="33"/>
      <c r="X45" s="33"/>
      <c r="Y45" s="17">
        <v>0.60233668514321104</v>
      </c>
      <c r="Z45" s="33"/>
      <c r="AA45" s="33"/>
      <c r="AB45" s="33"/>
      <c r="AC45" s="34"/>
      <c r="AE45" s="8">
        <v>0</v>
      </c>
      <c r="AF45" s="33"/>
      <c r="AG45" s="33"/>
      <c r="AH45" s="33"/>
      <c r="AI45" s="33"/>
      <c r="AJ45" s="17">
        <v>0.66085584020958699</v>
      </c>
      <c r="AK45" s="33"/>
      <c r="AL45" s="33"/>
      <c r="AM45" s="33"/>
      <c r="AN45" s="34"/>
    </row>
    <row r="46" spans="12:40" x14ac:dyDescent="0.25">
      <c r="T46" s="30">
        <v>0.25</v>
      </c>
      <c r="U46" s="17">
        <v>0.46808741819330202</v>
      </c>
      <c r="V46" s="17">
        <v>0.50278696347019902</v>
      </c>
      <c r="W46" s="17">
        <v>0.53746542329575198</v>
      </c>
      <c r="X46" s="17">
        <v>0.57186125793895803</v>
      </c>
      <c r="Y46" s="17">
        <v>0.58887304673996599</v>
      </c>
      <c r="Z46" s="17">
        <v>0.60571930763573201</v>
      </c>
      <c r="AA46" s="17">
        <v>0.63879645574807697</v>
      </c>
      <c r="AB46" s="17">
        <v>0.67086684357488702</v>
      </c>
      <c r="AC46" s="18">
        <v>0.70172645120688504</v>
      </c>
      <c r="AE46" s="30">
        <v>0.25</v>
      </c>
      <c r="AF46" s="17">
        <v>0.50239541170922897</v>
      </c>
      <c r="AG46" s="17">
        <v>0.54257586716580497</v>
      </c>
      <c r="AH46" s="17">
        <v>0.58232543082019705</v>
      </c>
      <c r="AI46" s="17">
        <v>0.62125058431320601</v>
      </c>
      <c r="AJ46" s="17">
        <v>0.64028748635514499</v>
      </c>
      <c r="AK46" s="17">
        <v>0.65898249169712597</v>
      </c>
      <c r="AL46" s="17">
        <v>0.69518741596576805</v>
      </c>
      <c r="AM46" s="17">
        <v>0.72957542122770902</v>
      </c>
      <c r="AN46" s="18">
        <v>0.76190699039268595</v>
      </c>
    </row>
    <row r="47" spans="12:40" x14ac:dyDescent="0.25">
      <c r="T47" s="30">
        <v>0.5</v>
      </c>
      <c r="U47" s="17">
        <v>0.42473784135952303</v>
      </c>
      <c r="V47" s="17">
        <v>0.46686384563578098</v>
      </c>
      <c r="W47" s="17">
        <v>0.509364686901285</v>
      </c>
      <c r="X47" s="17">
        <v>0.55175937023238397</v>
      </c>
      <c r="Y47" s="17">
        <v>0.572767130463258</v>
      </c>
      <c r="Z47" s="17">
        <v>0.59357049729665301</v>
      </c>
      <c r="AA47" s="17">
        <v>0.634340333195341</v>
      </c>
      <c r="AB47" s="17">
        <v>0.67364577316049601</v>
      </c>
      <c r="AC47" s="18">
        <v>0.71111139713169402</v>
      </c>
      <c r="AE47" s="30">
        <v>0.5</v>
      </c>
      <c r="AF47" s="17">
        <v>0.44460653075953499</v>
      </c>
      <c r="AG47" s="17">
        <v>0.49373775281416798</v>
      </c>
      <c r="AH47" s="17">
        <v>0.54296427419943805</v>
      </c>
      <c r="AI47" s="17">
        <v>0.59153943288586297</v>
      </c>
      <c r="AJ47" s="17">
        <v>0.61535658939264903</v>
      </c>
      <c r="AK47" s="17">
        <v>0.638746042322478</v>
      </c>
      <c r="AL47" s="17">
        <v>0.683927983853583</v>
      </c>
      <c r="AM47" s="17">
        <v>0.72651728058167198</v>
      </c>
      <c r="AN47" s="18">
        <v>0.76605481167148604</v>
      </c>
    </row>
    <row r="48" spans="12:40" x14ac:dyDescent="0.25">
      <c r="T48" s="30">
        <v>0.75</v>
      </c>
      <c r="U48" s="17">
        <v>0.34527823719343098</v>
      </c>
      <c r="V48" s="17">
        <v>0.40233802939395202</v>
      </c>
      <c r="W48" s="17">
        <v>0.461561736963647</v>
      </c>
      <c r="X48" s="17">
        <v>0.52165192522249804</v>
      </c>
      <c r="Y48" s="17">
        <v>0.55159810871588499</v>
      </c>
      <c r="Z48" s="17">
        <v>0.58125300178333394</v>
      </c>
      <c r="AA48" s="17">
        <v>0.63904227210020303</v>
      </c>
      <c r="AB48" s="17">
        <v>0.69381733471488305</v>
      </c>
      <c r="AC48" s="18">
        <v>0.74457026451012698</v>
      </c>
      <c r="AE48" s="30">
        <v>0.75</v>
      </c>
      <c r="AF48" s="17">
        <v>0.34295930009968101</v>
      </c>
      <c r="AG48" s="17">
        <v>0.40920130343712102</v>
      </c>
      <c r="AH48" s="17">
        <v>0.47814890020207901</v>
      </c>
      <c r="AI48" s="17">
        <v>0.547758426020583</v>
      </c>
      <c r="AJ48" s="17">
        <v>0.58215125870027096</v>
      </c>
      <c r="AK48" s="17">
        <v>0.61592666678299501</v>
      </c>
      <c r="AL48" s="17">
        <v>0.68067958765865</v>
      </c>
      <c r="AM48" s="17">
        <v>0.740341957727083</v>
      </c>
      <c r="AN48" s="18">
        <v>0.79366384254183198</v>
      </c>
    </row>
    <row r="49" spans="20:40" x14ac:dyDescent="0.25">
      <c r="T49" s="31" t="s">
        <v>27</v>
      </c>
      <c r="U49" s="17">
        <v>0.22587653985071501</v>
      </c>
      <c r="V49" s="17">
        <v>0.30360507132846698</v>
      </c>
      <c r="W49" s="17">
        <v>0.39141839063216199</v>
      </c>
      <c r="X49" s="17">
        <v>0.48516739970433298</v>
      </c>
      <c r="Y49" s="17">
        <v>0.53268836559808996</v>
      </c>
      <c r="Z49" s="17">
        <v>0.579747415694993</v>
      </c>
      <c r="AA49" s="24">
        <v>0.66991667267809496</v>
      </c>
      <c r="AB49" s="17">
        <v>0.751151821021804</v>
      </c>
      <c r="AC49" s="18">
        <v>0.82031194680573505</v>
      </c>
      <c r="AE49" s="31" t="s">
        <v>27</v>
      </c>
      <c r="AF49" s="17">
        <v>0.20152978864043</v>
      </c>
      <c r="AG49" s="17">
        <v>0.287812573518273</v>
      </c>
      <c r="AH49" s="17">
        <v>0.38843384034407202</v>
      </c>
      <c r="AI49" s="17">
        <v>0.49719934590514903</v>
      </c>
      <c r="AJ49" s="24">
        <v>0.55218009151588499</v>
      </c>
      <c r="AK49" s="17">
        <v>0.60617474934889204</v>
      </c>
      <c r="AL49" s="24">
        <v>0.70737968472062596</v>
      </c>
      <c r="AM49" s="17">
        <v>0.79449824362571497</v>
      </c>
      <c r="AN49" s="18">
        <v>0.86400951265861203</v>
      </c>
    </row>
    <row r="50" spans="20:40" ht="15.75" thickBot="1" x14ac:dyDescent="0.3">
      <c r="T50" s="32">
        <v>1</v>
      </c>
      <c r="U50" s="5">
        <v>0</v>
      </c>
      <c r="V50" s="5">
        <v>0</v>
      </c>
      <c r="W50" s="5">
        <v>0</v>
      </c>
      <c r="X50" s="5">
        <v>0</v>
      </c>
      <c r="Y50" s="27" t="s">
        <v>28</v>
      </c>
      <c r="Z50" s="5">
        <v>1</v>
      </c>
      <c r="AA50" s="5">
        <v>1</v>
      </c>
      <c r="AB50" s="5">
        <v>1</v>
      </c>
      <c r="AC50" s="6">
        <v>1</v>
      </c>
      <c r="AE50" s="32">
        <v>1</v>
      </c>
      <c r="AF50" s="5">
        <v>0</v>
      </c>
      <c r="AG50" s="5">
        <v>0</v>
      </c>
      <c r="AH50" s="5">
        <v>0</v>
      </c>
      <c r="AI50" s="5">
        <v>0</v>
      </c>
      <c r="AJ50" s="27" t="s">
        <v>28</v>
      </c>
      <c r="AK50" s="5">
        <v>1</v>
      </c>
      <c r="AL50" s="5">
        <v>1</v>
      </c>
      <c r="AM50" s="5">
        <v>1</v>
      </c>
      <c r="AN50" s="6">
        <v>1</v>
      </c>
    </row>
    <row r="51" spans="20:40" ht="15.75" thickBot="1" x14ac:dyDescent="0.3"/>
    <row r="52" spans="20:40" ht="15.75" thickBot="1" x14ac:dyDescent="0.3">
      <c r="T52" s="98" t="s">
        <v>158</v>
      </c>
      <c r="U52" s="99"/>
      <c r="V52" s="99"/>
      <c r="W52" s="99"/>
      <c r="X52" s="99"/>
      <c r="Y52" s="99"/>
      <c r="Z52" s="99"/>
      <c r="AA52" s="99"/>
      <c r="AB52" s="99"/>
      <c r="AC52" s="100"/>
      <c r="AE52" s="98" t="s">
        <v>157</v>
      </c>
      <c r="AF52" s="99"/>
      <c r="AG52" s="99"/>
      <c r="AH52" s="99"/>
      <c r="AI52" s="99"/>
      <c r="AJ52" s="99"/>
      <c r="AK52" s="99"/>
      <c r="AL52" s="99"/>
      <c r="AM52" s="99"/>
      <c r="AN52" s="100"/>
    </row>
    <row r="53" spans="20:40" ht="15.75" thickBot="1" x14ac:dyDescent="0.3">
      <c r="T53" s="7"/>
      <c r="U53" s="98" t="s">
        <v>26</v>
      </c>
      <c r="V53" s="99"/>
      <c r="W53" s="99"/>
      <c r="X53" s="99"/>
      <c r="Y53" s="99"/>
      <c r="Z53" s="99"/>
      <c r="AA53" s="99"/>
      <c r="AB53" s="99"/>
      <c r="AC53" s="100"/>
      <c r="AE53" s="7"/>
      <c r="AF53" s="98" t="s">
        <v>26</v>
      </c>
      <c r="AG53" s="99"/>
      <c r="AH53" s="99"/>
      <c r="AI53" s="99"/>
      <c r="AJ53" s="99"/>
      <c r="AK53" s="99"/>
      <c r="AL53" s="99"/>
      <c r="AM53" s="99"/>
      <c r="AN53" s="100"/>
    </row>
    <row r="54" spans="20:40" ht="15.75" thickBot="1" x14ac:dyDescent="0.3">
      <c r="T54" s="7" t="s">
        <v>25</v>
      </c>
      <c r="U54" s="75">
        <v>-7</v>
      </c>
      <c r="V54" s="75">
        <v>-5</v>
      </c>
      <c r="W54" s="75">
        <v>-3</v>
      </c>
      <c r="X54" s="75">
        <v>-1</v>
      </c>
      <c r="Y54" s="75">
        <v>0</v>
      </c>
      <c r="Z54" s="75">
        <v>1</v>
      </c>
      <c r="AA54" s="75">
        <v>3</v>
      </c>
      <c r="AB54" s="75">
        <v>5</v>
      </c>
      <c r="AC54" s="29">
        <v>7</v>
      </c>
      <c r="AE54" s="7" t="s">
        <v>25</v>
      </c>
      <c r="AF54" s="75">
        <v>-7</v>
      </c>
      <c r="AG54" s="75">
        <v>-5</v>
      </c>
      <c r="AH54" s="75">
        <v>-3</v>
      </c>
      <c r="AI54" s="75">
        <v>-1</v>
      </c>
      <c r="AJ54" s="75">
        <v>0</v>
      </c>
      <c r="AK54" s="75">
        <v>1</v>
      </c>
      <c r="AL54" s="75">
        <v>3</v>
      </c>
      <c r="AM54" s="75">
        <v>5</v>
      </c>
      <c r="AN54" s="29">
        <v>7</v>
      </c>
    </row>
    <row r="55" spans="20:40" x14ac:dyDescent="0.25">
      <c r="T55" s="89">
        <v>0</v>
      </c>
      <c r="U55" s="97"/>
      <c r="V55" s="94"/>
      <c r="W55" s="94"/>
      <c r="X55" s="94"/>
      <c r="Y55" s="44">
        <f>Y26-Y45</f>
        <v>-5.0304164818007813E-2</v>
      </c>
      <c r="Z55" s="94"/>
      <c r="AA55" s="94"/>
      <c r="AB55" s="94"/>
      <c r="AC55" s="95"/>
      <c r="AE55" s="89">
        <v>0</v>
      </c>
      <c r="AF55" s="94"/>
      <c r="AG55" s="94"/>
      <c r="AH55" s="94"/>
      <c r="AI55" s="94"/>
      <c r="AJ55" s="44">
        <f>AJ26-AJ45</f>
        <v>-4.761542209112013E-2</v>
      </c>
      <c r="AK55" s="94"/>
      <c r="AL55" s="94"/>
      <c r="AM55" s="94"/>
      <c r="AN55" s="95"/>
    </row>
    <row r="56" spans="20:40" x14ac:dyDescent="0.25">
      <c r="T56" s="30">
        <v>0.25</v>
      </c>
      <c r="U56" s="46">
        <f>U27-U46</f>
        <v>-0.15788333656064896</v>
      </c>
      <c r="V56" s="17">
        <f t="shared" ref="V56:AB56" si="19">V27-V46</f>
        <v>-0.14564410632734187</v>
      </c>
      <c r="W56" s="17">
        <f t="shared" si="19"/>
        <v>-9.9965423295751976E-2</v>
      </c>
      <c r="X56" s="17">
        <f t="shared" si="19"/>
        <v>-1.7315803393503471E-2</v>
      </c>
      <c r="Y56" s="17">
        <f t="shared" si="19"/>
        <v>4.7490589623670365E-2</v>
      </c>
      <c r="Z56" s="17">
        <f t="shared" si="19"/>
        <v>-9.3114265618925329E-2</v>
      </c>
      <c r="AA56" s="17">
        <f t="shared" si="19"/>
        <v>6.4593374760397615E-2</v>
      </c>
      <c r="AB56" s="17">
        <f t="shared" si="19"/>
        <v>-7.70894883804496E-3</v>
      </c>
      <c r="AC56" s="18">
        <f>AC27-AC46</f>
        <v>5.512286386160814E-2</v>
      </c>
      <c r="AE56" s="30">
        <v>0.25</v>
      </c>
      <c r="AF56" s="17">
        <f>AF27-AF46</f>
        <v>-0.15487768121277506</v>
      </c>
      <c r="AG56" s="17">
        <f>AG27-AG46</f>
        <v>-9.9394048983986794E-2</v>
      </c>
      <c r="AH56" s="17">
        <f>AH27-AH46</f>
        <v>-0.14307309437159893</v>
      </c>
      <c r="AI56" s="17">
        <f t="shared" ref="AI56:AN56" si="20">AI27-AI46</f>
        <v>-6.1250584313205958E-2</v>
      </c>
      <c r="AJ56" s="17">
        <f t="shared" si="20"/>
        <v>-5.2052192237497907E-2</v>
      </c>
      <c r="AK56" s="17">
        <f t="shared" si="20"/>
        <v>-4.0277455725902911E-2</v>
      </c>
      <c r="AL56" s="17">
        <f t="shared" si="20"/>
        <v>3.5581814803462675E-2</v>
      </c>
      <c r="AM56" s="17">
        <f t="shared" si="20"/>
        <v>2.2718156753942398E-2</v>
      </c>
      <c r="AN56" s="18">
        <f t="shared" si="20"/>
        <v>5.1371017906069238E-2</v>
      </c>
    </row>
    <row r="57" spans="20:40" x14ac:dyDescent="0.25">
      <c r="T57" s="30">
        <v>0.5</v>
      </c>
      <c r="U57" s="46">
        <f t="shared" ref="U57:AC57" si="21">U28-U47</f>
        <v>-0.2177202974998739</v>
      </c>
      <c r="V57" s="17">
        <f t="shared" si="21"/>
        <v>-0.1286285515181339</v>
      </c>
      <c r="W57" s="17">
        <f t="shared" si="21"/>
        <v>-7.9132128761750131E-2</v>
      </c>
      <c r="X57" s="17">
        <f t="shared" si="21"/>
        <v>-6.304824777838558E-3</v>
      </c>
      <c r="Y57" s="17">
        <f t="shared" si="21"/>
        <v>-5.5525751152913139E-2</v>
      </c>
      <c r="Z57" s="17">
        <f t="shared" si="21"/>
        <v>1.9332728509798613E-2</v>
      </c>
      <c r="AA57" s="17">
        <f t="shared" si="21"/>
        <v>-4.8974479536804449E-2</v>
      </c>
      <c r="AB57" s="17">
        <f t="shared" si="21"/>
        <v>4.9758482158652972E-2</v>
      </c>
      <c r="AC57" s="18">
        <f t="shared" si="21"/>
        <v>0.11902558916967587</v>
      </c>
      <c r="AE57" s="30">
        <v>0.5</v>
      </c>
      <c r="AF57" s="17">
        <f t="shared" ref="AF57:AN57" si="22">AF28-AF47</f>
        <v>-0.21880007914663177</v>
      </c>
      <c r="AG57" s="17">
        <f t="shared" si="22"/>
        <v>-9.6678929284756243E-2</v>
      </c>
      <c r="AH57" s="17">
        <f t="shared" si="22"/>
        <v>-0.15107238230754616</v>
      </c>
      <c r="AI57" s="17">
        <f t="shared" si="22"/>
        <v>-8.0428321774751899E-2</v>
      </c>
      <c r="AJ57" s="17">
        <f t="shared" si="22"/>
        <v>3.5806201305025431E-2</v>
      </c>
      <c r="AK57" s="17">
        <f t="shared" si="22"/>
        <v>-4.440641968096859E-2</v>
      </c>
      <c r="AL57" s="17">
        <f t="shared" si="22"/>
        <v>8.6072016146417019E-2</v>
      </c>
      <c r="AM57" s="17">
        <f t="shared" si="22"/>
        <v>-3.2680439119581184E-4</v>
      </c>
      <c r="AN57" s="18">
        <f t="shared" si="22"/>
        <v>0.11919108996785821</v>
      </c>
    </row>
    <row r="58" spans="20:40" ht="15.75" thickBot="1" x14ac:dyDescent="0.3">
      <c r="T58" s="96">
        <v>0.75</v>
      </c>
      <c r="U58" s="47">
        <f>U29-U48</f>
        <v>-0.24247449887567396</v>
      </c>
      <c r="V58" s="19">
        <f t="shared" ref="V58:AC58" si="23">V29-V48</f>
        <v>-0.13818708599772561</v>
      </c>
      <c r="W58" s="19">
        <f t="shared" si="23"/>
        <v>-0.21480849021040024</v>
      </c>
      <c r="X58" s="19">
        <f t="shared" si="23"/>
        <v>-2.1651925222498036E-2</v>
      </c>
      <c r="Y58" s="19">
        <f t="shared" si="23"/>
        <v>2.617966906189273E-2</v>
      </c>
      <c r="Z58" s="19">
        <f t="shared" si="23"/>
        <v>8.0909160378828227E-2</v>
      </c>
      <c r="AA58" s="19">
        <f t="shared" si="23"/>
        <v>-1.538635812170841E-2</v>
      </c>
      <c r="AB58" s="19">
        <f t="shared" si="23"/>
        <v>6.9819028921480619E-2</v>
      </c>
      <c r="AC58" s="20">
        <f t="shared" si="23"/>
        <v>0.1867093563429536</v>
      </c>
      <c r="AE58" s="96">
        <v>0.75</v>
      </c>
      <c r="AF58" s="19">
        <f t="shared" ref="AF58:AM58" si="24">AF29-AF48</f>
        <v>-0.22791505231207038</v>
      </c>
      <c r="AG58" s="19">
        <f t="shared" si="24"/>
        <v>-0.12849954905115613</v>
      </c>
      <c r="AH58" s="19">
        <f t="shared" si="24"/>
        <v>-7.8148900202078986E-2</v>
      </c>
      <c r="AI58" s="19">
        <f t="shared" si="24"/>
        <v>-0.13750201576417276</v>
      </c>
      <c r="AJ58" s="19">
        <f t="shared" si="24"/>
        <v>-2.9519679752902483E-2</v>
      </c>
      <c r="AK58" s="19">
        <f t="shared" si="24"/>
        <v>-5.9108484964813246E-2</v>
      </c>
      <c r="AL58" s="19">
        <f t="shared" si="24"/>
        <v>-4.0230149456402797E-2</v>
      </c>
      <c r="AM58" s="19">
        <f t="shared" si="24"/>
        <v>3.906980697879936E-2</v>
      </c>
      <c r="AN58" s="20">
        <f>AN29-AN48</f>
        <v>0.16579561691762745</v>
      </c>
    </row>
    <row r="59" spans="20:40" ht="15.75" thickBot="1" x14ac:dyDescent="0.3"/>
    <row r="60" spans="20:40" ht="15.75" thickBot="1" x14ac:dyDescent="0.3">
      <c r="T60" s="98" t="s">
        <v>159</v>
      </c>
      <c r="U60" s="99"/>
      <c r="V60" s="99"/>
      <c r="W60" s="99"/>
      <c r="X60" s="99"/>
      <c r="Y60" s="99"/>
      <c r="Z60" s="99"/>
      <c r="AA60" s="99"/>
      <c r="AB60" s="99"/>
      <c r="AC60" s="100"/>
      <c r="AE60" s="98" t="s">
        <v>159</v>
      </c>
      <c r="AF60" s="99"/>
      <c r="AG60" s="99"/>
      <c r="AH60" s="99"/>
      <c r="AI60" s="99"/>
      <c r="AJ60" s="99"/>
      <c r="AK60" s="99"/>
      <c r="AL60" s="99"/>
      <c r="AM60" s="99"/>
      <c r="AN60" s="100"/>
    </row>
    <row r="61" spans="20:40" ht="15.75" thickBot="1" x14ac:dyDescent="0.3">
      <c r="T61" s="7"/>
      <c r="U61" s="98" t="s">
        <v>26</v>
      </c>
      <c r="V61" s="99"/>
      <c r="W61" s="99"/>
      <c r="X61" s="99"/>
      <c r="Y61" s="99"/>
      <c r="Z61" s="99"/>
      <c r="AA61" s="99"/>
      <c r="AB61" s="99"/>
      <c r="AC61" s="100"/>
      <c r="AE61" s="7"/>
      <c r="AF61" s="98" t="s">
        <v>26</v>
      </c>
      <c r="AG61" s="99"/>
      <c r="AH61" s="99"/>
      <c r="AI61" s="99"/>
      <c r="AJ61" s="99"/>
      <c r="AK61" s="99"/>
      <c r="AL61" s="99"/>
      <c r="AM61" s="99"/>
      <c r="AN61" s="100"/>
    </row>
    <row r="62" spans="20:40" ht="15.75" thickBot="1" x14ac:dyDescent="0.3">
      <c r="T62" s="7" t="s">
        <v>25</v>
      </c>
      <c r="U62" s="75">
        <v>-7</v>
      </c>
      <c r="V62" s="75">
        <v>-5</v>
      </c>
      <c r="W62" s="75">
        <v>-3</v>
      </c>
      <c r="X62" s="75">
        <v>-1</v>
      </c>
      <c r="Y62" s="75">
        <v>0</v>
      </c>
      <c r="Z62" s="75">
        <v>1</v>
      </c>
      <c r="AA62" s="75">
        <v>3</v>
      </c>
      <c r="AB62" s="75">
        <v>5</v>
      </c>
      <c r="AC62" s="29">
        <v>7</v>
      </c>
      <c r="AE62" s="7" t="s">
        <v>25</v>
      </c>
      <c r="AF62" s="75">
        <v>-7</v>
      </c>
      <c r="AG62" s="75">
        <v>-5</v>
      </c>
      <c r="AH62" s="75">
        <v>-3</v>
      </c>
      <c r="AI62" s="75">
        <v>-1</v>
      </c>
      <c r="AJ62" s="75">
        <v>0</v>
      </c>
      <c r="AK62" s="75">
        <v>1</v>
      </c>
      <c r="AL62" s="75">
        <v>3</v>
      </c>
      <c r="AM62" s="75">
        <v>5</v>
      </c>
      <c r="AN62" s="29">
        <v>7</v>
      </c>
    </row>
    <row r="63" spans="20:40" x14ac:dyDescent="0.25">
      <c r="T63" s="89">
        <v>0</v>
      </c>
      <c r="U63" s="62"/>
      <c r="V63" s="63"/>
      <c r="W63" s="63"/>
      <c r="X63" s="63"/>
      <c r="Y63" s="44">
        <f>(Y55*Y55)/Y45</f>
        <v>4.2011537076405096E-3</v>
      </c>
      <c r="Z63" s="63"/>
      <c r="AA63" s="63"/>
      <c r="AB63" s="63"/>
      <c r="AC63" s="58"/>
      <c r="AE63" s="89">
        <v>0</v>
      </c>
      <c r="AF63" s="62"/>
      <c r="AG63" s="63"/>
      <c r="AH63" s="63"/>
      <c r="AI63" s="63"/>
      <c r="AJ63" s="44">
        <f>(AJ55*AJ55)/AJ45</f>
        <v>3.4307458343660717E-3</v>
      </c>
      <c r="AK63" s="63"/>
      <c r="AL63" s="63"/>
      <c r="AM63" s="63"/>
      <c r="AN63" s="58"/>
    </row>
    <row r="64" spans="20:40" x14ac:dyDescent="0.25">
      <c r="T64" s="30">
        <v>0.25</v>
      </c>
      <c r="U64" s="46">
        <f>(U56*U56)/U46</f>
        <v>5.3253189457079575E-2</v>
      </c>
      <c r="V64" s="17">
        <f>(V56*V56)/V46</f>
        <v>4.2189251609637934E-2</v>
      </c>
      <c r="W64" s="17">
        <f>(W56*W56)/W46</f>
        <v>1.8592983700088106E-2</v>
      </c>
      <c r="X64" s="17">
        <f t="shared" ref="X64:AC64" si="25">(X56*X56)/X46</f>
        <v>5.2431781835179274E-4</v>
      </c>
      <c r="Y64" s="17">
        <f t="shared" si="25"/>
        <v>3.8299530183791642E-3</v>
      </c>
      <c r="Z64" s="17">
        <f t="shared" si="25"/>
        <v>1.4314000482490666E-2</v>
      </c>
      <c r="AA64" s="17">
        <f t="shared" si="25"/>
        <v>6.5315078463469263E-3</v>
      </c>
      <c r="AB64" s="17">
        <f t="shared" si="25"/>
        <v>8.85837372300558E-5</v>
      </c>
      <c r="AC64" s="18">
        <f t="shared" si="25"/>
        <v>4.3300777889724385E-3</v>
      </c>
      <c r="AE64" s="30">
        <v>0.25</v>
      </c>
      <c r="AF64" s="46">
        <f>(AF56*AF56)/AF46</f>
        <v>4.7745452244951976E-2</v>
      </c>
      <c r="AG64" s="17">
        <f t="shared" ref="AG64:AN64" si="26">(AG56*AG56)/AG46</f>
        <v>1.8207918138777451E-2</v>
      </c>
      <c r="AH64" s="17">
        <f t="shared" si="26"/>
        <v>3.5152011658211246E-2</v>
      </c>
      <c r="AI64" s="17">
        <f t="shared" si="26"/>
        <v>6.0388419318053313E-3</v>
      </c>
      <c r="AJ64" s="17">
        <f t="shared" si="26"/>
        <v>4.2315846779279577E-3</v>
      </c>
      <c r="AK64" s="17">
        <f t="shared" si="26"/>
        <v>2.4617853436046675E-3</v>
      </c>
      <c r="AL64" s="17">
        <f t="shared" si="26"/>
        <v>1.8211859358085076E-3</v>
      </c>
      <c r="AM64" s="17">
        <f t="shared" si="26"/>
        <v>7.074178094270163E-4</v>
      </c>
      <c r="AN64" s="18">
        <f t="shared" si="26"/>
        <v>3.4636530626206206E-3</v>
      </c>
    </row>
    <row r="65" spans="20:70" x14ac:dyDescent="0.25">
      <c r="T65" s="30">
        <v>0.5</v>
      </c>
      <c r="U65" s="46">
        <f t="shared" ref="U65:AC65" si="27">(U57*U57)/U47</f>
        <v>0.1116032604764068</v>
      </c>
      <c r="V65" s="17">
        <f>(V57*V57)/V47</f>
        <v>3.5439249409261124E-2</v>
      </c>
      <c r="W65" s="17">
        <f t="shared" si="27"/>
        <v>1.2293537348378764E-2</v>
      </c>
      <c r="X65" s="17">
        <f t="shared" si="27"/>
        <v>7.2043752446841462E-5</v>
      </c>
      <c r="Y65" s="17">
        <f t="shared" si="27"/>
        <v>5.3828316555134632E-3</v>
      </c>
      <c r="Z65" s="17">
        <f t="shared" si="27"/>
        <v>6.2967144313236679E-4</v>
      </c>
      <c r="AA65" s="17">
        <f t="shared" si="27"/>
        <v>3.781092767377721E-3</v>
      </c>
      <c r="AB65" s="17">
        <f t="shared" si="27"/>
        <v>3.67538348101993E-3</v>
      </c>
      <c r="AC65" s="18">
        <f t="shared" si="27"/>
        <v>1.9922463532903823E-2</v>
      </c>
      <c r="AE65" s="30">
        <v>0.5</v>
      </c>
      <c r="AF65" s="46">
        <f t="shared" ref="AF65:AN65" si="28">(AF57*AF57)/AF47</f>
        <v>0.10767604909623932</v>
      </c>
      <c r="AG65" s="17">
        <f t="shared" si="28"/>
        <v>1.8930728538323529E-2</v>
      </c>
      <c r="AH65" s="17">
        <f t="shared" si="28"/>
        <v>4.2033823919129971E-2</v>
      </c>
      <c r="AI65" s="17">
        <f t="shared" si="28"/>
        <v>1.0935390920508867E-2</v>
      </c>
      <c r="AJ65" s="17">
        <f t="shared" si="28"/>
        <v>2.0834814707378193E-3</v>
      </c>
      <c r="AK65" s="17">
        <f t="shared" si="28"/>
        <v>3.0871895530066762E-3</v>
      </c>
      <c r="AL65" s="17">
        <f t="shared" si="28"/>
        <v>1.0832122881954015E-2</v>
      </c>
      <c r="AM65" s="17">
        <f t="shared" si="28"/>
        <v>1.4700422544575536E-7</v>
      </c>
      <c r="AN65" s="18">
        <f t="shared" si="28"/>
        <v>1.8545038437560751E-2</v>
      </c>
    </row>
    <row r="66" spans="20:70" ht="15.75" thickBot="1" x14ac:dyDescent="0.3">
      <c r="T66" s="96">
        <v>0.75</v>
      </c>
      <c r="U66" s="47">
        <f t="shared" ref="U66:AC66" si="29">(U58*U58)/U48</f>
        <v>0.17027972305150482</v>
      </c>
      <c r="V66" s="19">
        <f t="shared" si="29"/>
        <v>4.7461759370117006E-2</v>
      </c>
      <c r="W66" s="19">
        <f t="shared" si="29"/>
        <v>9.9970781308732826E-2</v>
      </c>
      <c r="X66" s="19">
        <f t="shared" si="29"/>
        <v>8.9869478702812964E-4</v>
      </c>
      <c r="Y66" s="19">
        <f t="shared" si="29"/>
        <v>1.2425261460481977E-3</v>
      </c>
      <c r="Z66" s="19">
        <f t="shared" si="29"/>
        <v>1.1262380087711139E-2</v>
      </c>
      <c r="AA66" s="19">
        <f t="shared" si="29"/>
        <v>3.7046065117323109E-4</v>
      </c>
      <c r="AB66" s="19">
        <f t="shared" si="29"/>
        <v>7.0259080533664562E-3</v>
      </c>
      <c r="AC66" s="20">
        <f t="shared" si="29"/>
        <v>4.6819468098065427E-2</v>
      </c>
      <c r="AE66" s="96">
        <v>0.75</v>
      </c>
      <c r="AF66" s="47">
        <f t="shared" ref="AF66:AN66" si="30">(AF58*AF58)/AF48</f>
        <v>0.15146191123936834</v>
      </c>
      <c r="AG66" s="19">
        <f t="shared" si="30"/>
        <v>4.0352105351706871E-2</v>
      </c>
      <c r="AH66" s="19">
        <f t="shared" si="30"/>
        <v>1.2772696120838941E-2</v>
      </c>
      <c r="AI66" s="19">
        <f t="shared" si="30"/>
        <v>3.4516683707756159E-2</v>
      </c>
      <c r="AJ66" s="19">
        <f t="shared" si="30"/>
        <v>1.4968815744888387E-3</v>
      </c>
      <c r="AK66" s="19">
        <f t="shared" si="30"/>
        <v>5.6724496328172513E-3</v>
      </c>
      <c r="AL66" s="19">
        <f t="shared" si="30"/>
        <v>2.377719200970282E-3</v>
      </c>
      <c r="AM66" s="19">
        <f t="shared" si="30"/>
        <v>2.061817247325788E-3</v>
      </c>
      <c r="AN66" s="20">
        <f t="shared" si="30"/>
        <v>3.4634545654822171E-2</v>
      </c>
    </row>
    <row r="68" spans="20:70" x14ac:dyDescent="0.25">
      <c r="BJ68" s="74" t="s">
        <v>131</v>
      </c>
      <c r="BR68" s="74" t="s">
        <v>131</v>
      </c>
    </row>
    <row r="69" spans="20:70" x14ac:dyDescent="0.25">
      <c r="BJ69" t="s">
        <v>139</v>
      </c>
      <c r="BR69" t="s">
        <v>133</v>
      </c>
    </row>
    <row r="70" spans="20:70" x14ac:dyDescent="0.25">
      <c r="AP70" t="s">
        <v>156</v>
      </c>
      <c r="BJ70" t="s">
        <v>140</v>
      </c>
      <c r="BR70" t="s">
        <v>134</v>
      </c>
    </row>
    <row r="71" spans="20:70" x14ac:dyDescent="0.25">
      <c r="BJ71" t="s">
        <v>141</v>
      </c>
      <c r="BR71" t="s">
        <v>135</v>
      </c>
    </row>
    <row r="72" spans="20:70" x14ac:dyDescent="0.25">
      <c r="BJ72" t="s">
        <v>142</v>
      </c>
      <c r="BR72" t="s">
        <v>136</v>
      </c>
    </row>
    <row r="73" spans="20:70" x14ac:dyDescent="0.25">
      <c r="BJ73" t="s">
        <v>143</v>
      </c>
      <c r="BR73" t="s">
        <v>137</v>
      </c>
    </row>
    <row r="74" spans="20:70" x14ac:dyDescent="0.25">
      <c r="BJ74" t="s">
        <v>144</v>
      </c>
      <c r="BR74" t="s">
        <v>138</v>
      </c>
    </row>
    <row r="76" spans="20:70" x14ac:dyDescent="0.25">
      <c r="BJ76" t="s">
        <v>145</v>
      </c>
      <c r="BR76" t="s">
        <v>149</v>
      </c>
    </row>
    <row r="77" spans="20:70" x14ac:dyDescent="0.25">
      <c r="BJ77" t="s">
        <v>146</v>
      </c>
      <c r="BR77" t="s">
        <v>150</v>
      </c>
    </row>
    <row r="78" spans="20:70" x14ac:dyDescent="0.25">
      <c r="BJ78" t="s">
        <v>147</v>
      </c>
      <c r="BR78" t="s">
        <v>151</v>
      </c>
    </row>
    <row r="79" spans="20:70" x14ac:dyDescent="0.25">
      <c r="BJ79" t="s">
        <v>148</v>
      </c>
      <c r="BR79" t="s">
        <v>152</v>
      </c>
    </row>
    <row r="81" spans="62:72" x14ac:dyDescent="0.25">
      <c r="BJ81" s="91">
        <v>-9.8599999999999993E-2</v>
      </c>
      <c r="BL81" s="91">
        <v>0.44600000000000001</v>
      </c>
      <c r="BR81" s="91">
        <v>-6.4000000000000001E-2</v>
      </c>
      <c r="BT81" s="91">
        <v>0.46983000000000003</v>
      </c>
    </row>
    <row r="82" spans="62:72" x14ac:dyDescent="0.25">
      <c r="BJ82" s="91">
        <v>-3.4349999999999999E-2</v>
      </c>
      <c r="BL82" s="91">
        <v>0.4234</v>
      </c>
      <c r="BR82" s="91">
        <v>-6.4899999999999999E-2</v>
      </c>
      <c r="BT82" s="91">
        <v>0.48430000000000001</v>
      </c>
    </row>
    <row r="83" spans="62:72" x14ac:dyDescent="0.25">
      <c r="BJ83" s="91">
        <v>-0.11990000000000001</v>
      </c>
      <c r="BL83" s="91">
        <v>0.48209999999999997</v>
      </c>
      <c r="BR83" s="91">
        <v>2.3E-2</v>
      </c>
      <c r="BT83" s="91">
        <v>0.42615999999999998</v>
      </c>
    </row>
    <row r="84" spans="62:72" x14ac:dyDescent="0.25">
      <c r="BJ84" s="91">
        <v>-7.1400000000000005E-2</v>
      </c>
      <c r="BL84" s="91">
        <v>0.34329999999999999</v>
      </c>
      <c r="BR84" s="91">
        <v>-9.9000000000000008E-3</v>
      </c>
      <c r="BT84" s="91">
        <v>0.4924</v>
      </c>
    </row>
    <row r="85" spans="62:72" x14ac:dyDescent="0.25">
      <c r="BJ85" s="91">
        <v>-9.5200000000000007E-2</v>
      </c>
      <c r="BR85" s="91">
        <v>-1.5100000000000001E-2</v>
      </c>
    </row>
    <row r="86" spans="62:72" x14ac:dyDescent="0.25">
      <c r="BJ86" s="91">
        <v>-0.14019999999999999</v>
      </c>
      <c r="BR86" s="91">
        <v>-0.1148</v>
      </c>
    </row>
    <row r="87" spans="62:72" x14ac:dyDescent="0.25">
      <c r="BJ87" s="91">
        <v>2.8000000000000001E-2</v>
      </c>
    </row>
  </sheetData>
  <mergeCells count="54">
    <mergeCell ref="U61:AC61"/>
    <mergeCell ref="AE60:AN60"/>
    <mergeCell ref="AF61:AN61"/>
    <mergeCell ref="AE52:AN52"/>
    <mergeCell ref="AF53:AN53"/>
    <mergeCell ref="T52:AC52"/>
    <mergeCell ref="U53:AC53"/>
    <mergeCell ref="T60:AC60"/>
    <mergeCell ref="L29:P29"/>
    <mergeCell ref="T42:AC42"/>
    <mergeCell ref="U43:AC43"/>
    <mergeCell ref="AE42:AN42"/>
    <mergeCell ref="AF43:AN43"/>
    <mergeCell ref="U33:AC33"/>
    <mergeCell ref="AE32:AN32"/>
    <mergeCell ref="AF33:AN33"/>
    <mergeCell ref="B2:E2"/>
    <mergeCell ref="H2:I2"/>
    <mergeCell ref="T2:AC2"/>
    <mergeCell ref="B10:E10"/>
    <mergeCell ref="H17:I17"/>
    <mergeCell ref="L2:P2"/>
    <mergeCell ref="AE22:AN22"/>
    <mergeCell ref="T22:AC22"/>
    <mergeCell ref="U23:AC23"/>
    <mergeCell ref="BK2:BM2"/>
    <mergeCell ref="L21:P21"/>
    <mergeCell ref="U3:AC3"/>
    <mergeCell ref="T12:AC12"/>
    <mergeCell ref="U13:AC13"/>
    <mergeCell ref="L10:P10"/>
    <mergeCell ref="BC8:BG8"/>
    <mergeCell ref="BA5:BB5"/>
    <mergeCell ref="BA6:BB6"/>
    <mergeCell ref="AP2:AY2"/>
    <mergeCell ref="AP5:AP6"/>
    <mergeCell ref="AP7:AP8"/>
    <mergeCell ref="BA8:BB10"/>
    <mergeCell ref="BS2:BU2"/>
    <mergeCell ref="BA11:BB11"/>
    <mergeCell ref="BA12:BB12"/>
    <mergeCell ref="T32:AC32"/>
    <mergeCell ref="AP11:AY11"/>
    <mergeCell ref="AP13:AP14"/>
    <mergeCell ref="AP15:AP16"/>
    <mergeCell ref="AP17:AP18"/>
    <mergeCell ref="AE2:AN2"/>
    <mergeCell ref="AF3:AN3"/>
    <mergeCell ref="AE12:AN12"/>
    <mergeCell ref="AF13:AN13"/>
    <mergeCell ref="AP9:AP10"/>
    <mergeCell ref="BA2:BB4"/>
    <mergeCell ref="BC2:BG2"/>
    <mergeCell ref="AF23:AN23"/>
  </mergeCells>
  <conditionalFormatting sqref="U6:AC9 Y5 U10:X10 Z10:AC10">
    <cfRule type="cellIs" dxfId="33" priority="61" operator="lessThan">
      <formula>0.5</formula>
    </cfRule>
    <cfRule type="cellIs" dxfId="32" priority="62" operator="greaterThan">
      <formula>0.5</formula>
    </cfRule>
  </conditionalFormatting>
  <conditionalFormatting sqref="Y10">
    <cfRule type="cellIs" dxfId="31" priority="59" operator="equal">
      <formula>"?"</formula>
    </cfRule>
    <cfRule type="cellIs" dxfId="30" priority="60" operator="equal">
      <formula>0.5</formula>
    </cfRule>
  </conditionalFormatting>
  <conditionalFormatting sqref="AF6:AN9 AJ5 AF10:AI10 AK10:AN10">
    <cfRule type="cellIs" dxfId="29" priority="47" operator="lessThan">
      <formula>0.5</formula>
    </cfRule>
    <cfRule type="cellIs" dxfId="28" priority="48" operator="greaterThan">
      <formula>0.5</formula>
    </cfRule>
  </conditionalFormatting>
  <conditionalFormatting sqref="AJ10">
    <cfRule type="cellIs" dxfId="27" priority="45" operator="equal">
      <formula>"?"</formula>
    </cfRule>
    <cfRule type="cellIs" dxfId="26" priority="46" operator="equal">
      <formula>0.5</formula>
    </cfRule>
  </conditionalFormatting>
  <conditionalFormatting sqref="U36:AC39 Y35 U40:X40 Z40:AC40">
    <cfRule type="cellIs" dxfId="25" priority="37" operator="lessThan">
      <formula>0.5</formula>
    </cfRule>
    <cfRule type="cellIs" dxfId="24" priority="38" operator="greaterThan">
      <formula>0.5</formula>
    </cfRule>
  </conditionalFormatting>
  <conditionalFormatting sqref="Y40">
    <cfRule type="cellIs" dxfId="23" priority="35" operator="equal">
      <formula>"?"</formula>
    </cfRule>
    <cfRule type="cellIs" dxfId="22" priority="36" operator="equal">
      <formula>0.5</formula>
    </cfRule>
  </conditionalFormatting>
  <conditionalFormatting sqref="AF36:AN39 AJ35 AF40:AI40 AK40:AN40">
    <cfRule type="cellIs" dxfId="21" priority="33" operator="lessThan">
      <formula>0.5</formula>
    </cfRule>
    <cfRule type="cellIs" dxfId="20" priority="34" operator="greaterThan">
      <formula>0.5</formula>
    </cfRule>
  </conditionalFormatting>
  <conditionalFormatting sqref="AJ40">
    <cfRule type="cellIs" dxfId="19" priority="31" operator="equal">
      <formula>"?"</formula>
    </cfRule>
    <cfRule type="cellIs" dxfId="18" priority="32" operator="equal">
      <formula>0.5</formula>
    </cfRule>
  </conditionalFormatting>
  <conditionalFormatting sqref="U46:AC49 Y45 U50:X50 Z50:AC50">
    <cfRule type="cellIs" dxfId="17" priority="29" operator="lessThan">
      <formula>0.5</formula>
    </cfRule>
    <cfRule type="cellIs" dxfId="16" priority="30" operator="greaterThan">
      <formula>0.5</formula>
    </cfRule>
  </conditionalFormatting>
  <conditionalFormatting sqref="Y50">
    <cfRule type="cellIs" dxfId="15" priority="27" operator="equal">
      <formula>"?"</formula>
    </cfRule>
    <cfRule type="cellIs" dxfId="14" priority="28" operator="equal">
      <formula>0.5</formula>
    </cfRule>
  </conditionalFormatting>
  <conditionalFormatting sqref="AF46:AN49 AJ45 AF50:AI50 AK50:AN50">
    <cfRule type="cellIs" dxfId="13" priority="25" operator="lessThan">
      <formula>0.5</formula>
    </cfRule>
    <cfRule type="cellIs" dxfId="12" priority="26" operator="greaterThan">
      <formula>0.5</formula>
    </cfRule>
  </conditionalFormatting>
  <conditionalFormatting sqref="AJ50">
    <cfRule type="cellIs" dxfId="11" priority="23" operator="equal">
      <formula>"?"</formula>
    </cfRule>
    <cfRule type="cellIs" dxfId="10" priority="24" operator="equal">
      <formula>0.5</formula>
    </cfRule>
  </conditionalFormatting>
  <conditionalFormatting sqref="AJ55 AF56:AN58">
    <cfRule type="cellIs" dxfId="9" priority="21" operator="lessThan">
      <formula>0.5</formula>
    </cfRule>
    <cfRule type="cellIs" dxfId="8" priority="22" operator="greaterThan">
      <formula>0.5</formula>
    </cfRule>
  </conditionalFormatting>
  <conditionalFormatting sqref="AF55:AN58">
    <cfRule type="cellIs" dxfId="7" priority="17" operator="lessThan">
      <formula>0</formula>
    </cfRule>
    <cfRule type="cellIs" dxfId="6" priority="18" operator="greaterThan">
      <formula>0</formula>
    </cfRule>
  </conditionalFormatting>
  <conditionalFormatting sqref="Y55 U56:AC58">
    <cfRule type="cellIs" dxfId="5" priority="15" operator="lessThan">
      <formula>0.5</formula>
    </cfRule>
    <cfRule type="cellIs" dxfId="4" priority="16" operator="greaterThan">
      <formula>0.5</formula>
    </cfRule>
  </conditionalFormatting>
  <conditionalFormatting sqref="U55:AC58">
    <cfRule type="cellIs" dxfId="3" priority="11" operator="lessThan">
      <formula>0</formula>
    </cfRule>
    <cfRule type="cellIs" dxfId="2" priority="12" operator="greaterThan">
      <formula>0</formula>
    </cfRule>
    <cfRule type="cellIs" dxfId="1" priority="13" operator="lessThan">
      <formula>0</formula>
    </cfRule>
    <cfRule type="cellIs" dxfId="0" priority="1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Kurucovci</dc:creator>
  <cp:lastModifiedBy>Kurucovci</cp:lastModifiedBy>
  <dcterms:created xsi:type="dcterms:W3CDTF">2024-01-21T14:15:26Z</dcterms:created>
  <dcterms:modified xsi:type="dcterms:W3CDTF">2024-05-13T12:52:39Z</dcterms:modified>
</cp:coreProperties>
</file>