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" sheetId="1" r:id="rId4"/>
  </sheets>
  <definedNames/>
  <calcPr/>
</workbook>
</file>

<file path=xl/sharedStrings.xml><?xml version="1.0" encoding="utf-8"?>
<sst xmlns="http://schemas.openxmlformats.org/spreadsheetml/2006/main" count="92" uniqueCount="21">
  <si>
    <t>MCS-2</t>
  </si>
  <si>
    <t>2000 bytes</t>
  </si>
  <si>
    <t>t_sim=5</t>
  </si>
  <si>
    <t>3 stacje</t>
  </si>
  <si>
    <t>t_sim=5s</t>
  </si>
  <si>
    <t>8 stacji</t>
  </si>
  <si>
    <t>100 stacji</t>
  </si>
  <si>
    <t>fr.oh[B]</t>
  </si>
  <si>
    <t>ch.size[MHz]</t>
  </si>
  <si>
    <t>t.rate[Mb/s]</t>
  </si>
  <si>
    <t>r.ofer[Mb/s]</t>
  </si>
  <si>
    <t>IAT[s]</t>
  </si>
  <si>
    <t>r.real[Mb/s]</t>
  </si>
  <si>
    <t>coll.e</t>
  </si>
  <si>
    <t>coll.f</t>
  </si>
  <si>
    <t>PHY_const_ov</t>
  </si>
  <si>
    <t>r.real/t.rate[%]</t>
  </si>
  <si>
    <t>fr.oh/f.size[%]</t>
  </si>
  <si>
    <t>coll.e/n.f[%]</t>
  </si>
  <si>
    <t>MCS-3</t>
  </si>
  <si>
    <t>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</si>
</sst>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1 spatial 2000B, r.real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3 stacje</c:v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Arkusz1!$L$4:$L$7</c:f>
            </c:strRef>
          </c:cat>
          <c:val>
            <c:numRef>
              <c:f>Arkusz1!$G$4:$G$7</c:f>
              <c:numCache/>
            </c:numRef>
          </c:val>
          <c:smooth val="0"/>
        </c:ser>
        <c:ser>
          <c:idx val="1"/>
          <c:order val="1"/>
          <c:tx>
            <c:v>8 stacji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Arkusz1!$L$4:$L$7</c:f>
            </c:strRef>
          </c:cat>
          <c:val>
            <c:numRef>
              <c:f>Arkusz1!$P$4:$P$7</c:f>
              <c:numCache/>
            </c:numRef>
          </c:val>
          <c:smooth val="0"/>
        </c:ser>
        <c:ser>
          <c:idx val="2"/>
          <c:order val="2"/>
          <c:tx>
            <c:v>100 stacji</c:v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Arkusz1!$L$4:$L$7</c:f>
            </c:strRef>
          </c:cat>
          <c:val>
            <c:numRef>
              <c:f>Arkusz1!$Y$4:$Y$7</c:f>
              <c:numCache/>
            </c:numRef>
          </c:val>
          <c:smooth val="0"/>
        </c:ser>
        <c:axId val="47671203"/>
        <c:axId val="641382106"/>
      </c:lineChart>
      <c:catAx>
        <c:axId val="476712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400">
                    <a:solidFill>
                      <a:srgbClr val="000000"/>
                    </a:solidFill>
                    <a:latin typeface="+mn-lt"/>
                  </a:rPr>
                  <a:t>Szerokość kanału [MHz]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41382106"/>
      </c:catAx>
      <c:valAx>
        <c:axId val="6413821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R.real [Mb/s]
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76712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2 spatials 2000B, r.real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3 stacje</c:v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Arkusz1!$L$43:$L$46</c:f>
            </c:strRef>
          </c:cat>
          <c:val>
            <c:numRef>
              <c:f>Arkusz1!$G$43:$G$46</c:f>
              <c:numCache/>
            </c:numRef>
          </c:val>
          <c:smooth val="0"/>
        </c:ser>
        <c:ser>
          <c:idx val="1"/>
          <c:order val="1"/>
          <c:tx>
            <c:v>8 stacji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Arkusz1!$L$43:$L$46</c:f>
            </c:strRef>
          </c:cat>
          <c:val>
            <c:numRef>
              <c:f>Arkusz1!$P$43:$P$46</c:f>
              <c:numCache/>
            </c:numRef>
          </c:val>
          <c:smooth val="0"/>
        </c:ser>
        <c:ser>
          <c:idx val="2"/>
          <c:order val="2"/>
          <c:tx>
            <c:v>100 stacji</c:v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Arkusz1!$L$43:$L$46</c:f>
            </c:strRef>
          </c:cat>
          <c:val>
            <c:numRef>
              <c:f>Arkusz1!$Y$43:$Y$46</c:f>
              <c:numCache/>
            </c:numRef>
          </c:val>
          <c:smooth val="0"/>
        </c:ser>
        <c:axId val="1135348136"/>
        <c:axId val="257019875"/>
      </c:lineChart>
      <c:catAx>
        <c:axId val="1135348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400">
                    <a:solidFill>
                      <a:srgbClr val="000000"/>
                    </a:solidFill>
                    <a:latin typeface="+mn-lt"/>
                  </a:rPr>
                  <a:t>Szerokość kanału [MHz]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57019875"/>
      </c:catAx>
      <c:valAx>
        <c:axId val="2570198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R.reaMb/s]
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353481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1 spatial 2000B, collided episodes</a:t>
            </a:r>
          </a:p>
        </c:rich>
      </c:tx>
      <c:overlay val="0"/>
    </c:title>
    <c:plotArea>
      <c:layout/>
      <c:lineChart>
        <c:ser>
          <c:idx val="0"/>
          <c:order val="0"/>
          <c:tx>
            <c:v>3 stacje</c:v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Arkusz1!$U$4:$U$7</c:f>
            </c:strRef>
          </c:cat>
          <c:val>
            <c:numRef>
              <c:f>Arkusz1!$H$4:$H$7</c:f>
              <c:numCache/>
            </c:numRef>
          </c:val>
          <c:smooth val="0"/>
        </c:ser>
        <c:ser>
          <c:idx val="1"/>
          <c:order val="1"/>
          <c:tx>
            <c:v>8 stacji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Arkusz1!$U$4:$U$7</c:f>
            </c:strRef>
          </c:cat>
          <c:val>
            <c:numRef>
              <c:f>Arkusz1!$Q$4:$Q$7</c:f>
              <c:numCache/>
            </c:numRef>
          </c:val>
          <c:smooth val="0"/>
        </c:ser>
        <c:ser>
          <c:idx val="2"/>
          <c:order val="2"/>
          <c:tx>
            <c:v>100 stacji</c:v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Arkusz1!$U$4:$U$7</c:f>
            </c:strRef>
          </c:cat>
          <c:val>
            <c:numRef>
              <c:f>Arkusz1!$Z$4:$Z$7</c:f>
              <c:numCache/>
            </c:numRef>
          </c:val>
          <c:smooth val="0"/>
        </c:ser>
        <c:axId val="160490656"/>
        <c:axId val="1024404127"/>
      </c:lineChart>
      <c:catAx>
        <c:axId val="160490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400">
                    <a:solidFill>
                      <a:srgbClr val="000000"/>
                    </a:solidFill>
                    <a:latin typeface="+mn-lt"/>
                  </a:rPr>
                  <a:t>Szerokość kanału [MHz]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24404127"/>
      </c:catAx>
      <c:valAx>
        <c:axId val="10244041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04906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2 spatial 2000B, collided episodes</a:t>
            </a:r>
          </a:p>
        </c:rich>
      </c:tx>
      <c:overlay val="0"/>
    </c:title>
    <c:plotArea>
      <c:layout/>
      <c:lineChart>
        <c:ser>
          <c:idx val="0"/>
          <c:order val="0"/>
          <c:tx>
            <c:v>3 stacje</c:v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Arkusz1!$U$4:$U$7</c:f>
            </c:strRef>
          </c:cat>
          <c:val>
            <c:numRef>
              <c:f>Arkusz1!$H$43:$H$46</c:f>
              <c:numCache/>
            </c:numRef>
          </c:val>
          <c:smooth val="0"/>
        </c:ser>
        <c:ser>
          <c:idx val="1"/>
          <c:order val="1"/>
          <c:tx>
            <c:v>8 stacji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Arkusz1!$U$4:$U$7</c:f>
            </c:strRef>
          </c:cat>
          <c:val>
            <c:numRef>
              <c:f>Arkusz1!$Q$43:$Q$46</c:f>
              <c:numCache/>
            </c:numRef>
          </c:val>
          <c:smooth val="0"/>
        </c:ser>
        <c:ser>
          <c:idx val="2"/>
          <c:order val="2"/>
          <c:tx>
            <c:v>100 stacji</c:v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Arkusz1!$U$4:$U$7</c:f>
            </c:strRef>
          </c:cat>
          <c:val>
            <c:numRef>
              <c:f>Arkusz1!$Z$43:$Z$46</c:f>
              <c:numCache/>
            </c:numRef>
          </c:val>
          <c:smooth val="0"/>
        </c:ser>
        <c:axId val="1849532207"/>
        <c:axId val="1508084458"/>
      </c:lineChart>
      <c:catAx>
        <c:axId val="1849532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400">
                    <a:solidFill>
                      <a:srgbClr val="000000"/>
                    </a:solidFill>
                    <a:latin typeface="+mn-lt"/>
                  </a:rPr>
                  <a:t>Szerokość kanału [MHz]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08084458"/>
      </c:catAx>
      <c:valAx>
        <c:axId val="15080844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495322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533400</xdr:colOff>
      <xdr:row>14</xdr:row>
      <xdr:rowOff>95250</xdr:rowOff>
    </xdr:from>
    <xdr:ext cx="7086600" cy="4533900"/>
    <xdr:graphicFrame>
      <xdr:nvGraphicFramePr>
        <xdr:cNvPr id="1" name="Chart 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676275</xdr:colOff>
      <xdr:row>54</xdr:row>
      <xdr:rowOff>133350</xdr:rowOff>
    </xdr:from>
    <xdr:ext cx="7096125" cy="4533900"/>
    <xdr:graphicFrame>
      <xdr:nvGraphicFramePr>
        <xdr:cNvPr id="2" name="Chart 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15</xdr:col>
      <xdr:colOff>0</xdr:colOff>
      <xdr:row>14</xdr:row>
      <xdr:rowOff>19050</xdr:rowOff>
    </xdr:from>
    <xdr:ext cx="7086600" cy="4514850"/>
    <xdr:graphicFrame>
      <xdr:nvGraphicFramePr>
        <xdr:cNvPr id="3" name="Chart 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828675</xdr:colOff>
      <xdr:row>55</xdr:row>
      <xdr:rowOff>28575</xdr:rowOff>
    </xdr:from>
    <xdr:ext cx="7096125" cy="4514850"/>
    <xdr:graphicFrame>
      <xdr:nvGraphicFramePr>
        <xdr:cNvPr id="4" name="Chart 4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29"/>
    <col customWidth="1" min="2" max="27" width="12.71"/>
  </cols>
  <sheetData>
    <row r="1">
      <c r="A1" s="1" t="s">
        <v>0</v>
      </c>
      <c r="B1" s="2" t="s">
        <v>1</v>
      </c>
      <c r="E1" s="3"/>
      <c r="F1" s="3"/>
      <c r="G1" s="3"/>
      <c r="J1" s="4" t="s">
        <v>0</v>
      </c>
      <c r="K1" s="2" t="s">
        <v>1</v>
      </c>
      <c r="L1" s="3"/>
      <c r="M1" s="3"/>
      <c r="N1" s="3"/>
      <c r="O1" s="3"/>
      <c r="S1" s="4" t="s">
        <v>0</v>
      </c>
      <c r="T1" s="2" t="s">
        <v>1</v>
      </c>
      <c r="U1" s="3"/>
      <c r="V1" s="3"/>
      <c r="W1" s="3"/>
      <c r="X1" s="3"/>
    </row>
    <row r="2">
      <c r="A2" s="4" t="s">
        <v>2</v>
      </c>
      <c r="B2" s="2" t="s">
        <v>3</v>
      </c>
      <c r="D2" s="2"/>
      <c r="E2" s="2"/>
      <c r="F2" s="2"/>
      <c r="G2" s="2"/>
      <c r="J2" s="3" t="s">
        <v>4</v>
      </c>
      <c r="K2" s="5" t="s">
        <v>5</v>
      </c>
      <c r="L2" s="2"/>
      <c r="M2" s="2"/>
      <c r="N2" s="2"/>
      <c r="O2" s="2"/>
      <c r="S2" s="3" t="s">
        <v>4</v>
      </c>
      <c r="T2" s="5" t="s">
        <v>6</v>
      </c>
      <c r="U2" s="2"/>
      <c r="X2" s="2"/>
    </row>
    <row r="3">
      <c r="B3" s="2" t="s">
        <v>7</v>
      </c>
      <c r="C3" s="2" t="s">
        <v>8</v>
      </c>
      <c r="D3" s="2" t="s">
        <v>9</v>
      </c>
      <c r="E3" s="2" t="s">
        <v>10</v>
      </c>
      <c r="F3" s="2" t="s">
        <v>11</v>
      </c>
      <c r="G3" s="2" t="s">
        <v>12</v>
      </c>
      <c r="H3" s="2" t="s">
        <v>13</v>
      </c>
      <c r="I3" s="2" t="s">
        <v>14</v>
      </c>
      <c r="K3" s="2" t="s">
        <v>7</v>
      </c>
      <c r="L3" s="2" t="s">
        <v>8</v>
      </c>
      <c r="M3" s="2" t="s">
        <v>9</v>
      </c>
      <c r="N3" s="2" t="s">
        <v>10</v>
      </c>
      <c r="O3" s="2" t="s">
        <v>11</v>
      </c>
      <c r="P3" s="2" t="s">
        <v>12</v>
      </c>
      <c r="Q3" s="2" t="s">
        <v>13</v>
      </c>
      <c r="R3" s="2" t="s">
        <v>14</v>
      </c>
      <c r="S3" s="3"/>
      <c r="T3" s="2" t="s">
        <v>7</v>
      </c>
      <c r="U3" s="2" t="s">
        <v>8</v>
      </c>
      <c r="V3" s="2" t="s">
        <v>9</v>
      </c>
      <c r="W3" s="2" t="s">
        <v>10</v>
      </c>
      <c r="X3" s="2" t="s">
        <v>11</v>
      </c>
      <c r="Y3" s="2" t="s">
        <v>12</v>
      </c>
      <c r="Z3" s="2" t="s">
        <v>13</v>
      </c>
      <c r="AA3" s="2" t="s">
        <v>14</v>
      </c>
    </row>
    <row r="4">
      <c r="B4" s="6">
        <f>(A10*((D4*1000000)/6500000))+45</f>
        <v>142.5</v>
      </c>
      <c r="C4" s="6">
        <v>20.0</v>
      </c>
      <c r="D4" s="1">
        <v>19.5</v>
      </c>
      <c r="E4" s="6">
        <f t="shared" ref="E4:E5" si="1">2000*8*3*2100/1000000</f>
        <v>100.8</v>
      </c>
      <c r="F4" s="6">
        <v>5.0E-4</v>
      </c>
      <c r="G4" s="6">
        <f>4564*2000*8/5000000</f>
        <v>14.6048</v>
      </c>
      <c r="H4" s="1">
        <v>527.0</v>
      </c>
      <c r="I4" s="1">
        <v>1070.0</v>
      </c>
      <c r="K4" s="6">
        <f>(A10*((M4*1000000)/6500000))+45</f>
        <v>142.5</v>
      </c>
      <c r="L4" s="6">
        <v>20.0</v>
      </c>
      <c r="M4" s="1">
        <v>19.5</v>
      </c>
      <c r="N4" s="6">
        <f t="shared" ref="N4:N5" si="2">2000*8*8*800/1000000</f>
        <v>102.4</v>
      </c>
      <c r="O4" s="1">
        <v>0.00125</v>
      </c>
      <c r="P4" s="6">
        <f>4040*2000*8/5000000</f>
        <v>12.928</v>
      </c>
      <c r="Q4" s="1">
        <v>1061.0</v>
      </c>
      <c r="R4" s="1">
        <v>2248.0</v>
      </c>
      <c r="T4" s="6">
        <f>(A10*((V4*1000000)/6500000))+45</f>
        <v>142.5</v>
      </c>
      <c r="U4" s="6">
        <v>20.0</v>
      </c>
      <c r="V4" s="1">
        <v>19.5</v>
      </c>
      <c r="W4" s="6">
        <f t="shared" ref="W4:W5" si="3">2000*8*100*63/1000000</f>
        <v>100.8</v>
      </c>
      <c r="X4" s="1">
        <v>0.0159</v>
      </c>
      <c r="Y4" s="6">
        <f>2656*2000*8/5000000</f>
        <v>8.4992</v>
      </c>
      <c r="Z4" s="1">
        <v>2934.0</v>
      </c>
      <c r="AA4" s="1">
        <v>7926.0</v>
      </c>
    </row>
    <row r="5">
      <c r="B5" s="6">
        <f>(A10*((D5*1000000)/6500000))+45</f>
        <v>247.5</v>
      </c>
      <c r="C5" s="6">
        <v>40.0</v>
      </c>
      <c r="D5" s="1">
        <v>40.5</v>
      </c>
      <c r="E5" s="6">
        <f t="shared" si="1"/>
        <v>100.8</v>
      </c>
      <c r="F5" s="6">
        <v>5.0E-4</v>
      </c>
      <c r="G5" s="6">
        <f>10017*2000*8/5000000</f>
        <v>32.0544</v>
      </c>
      <c r="H5" s="1">
        <v>0.0</v>
      </c>
      <c r="I5" s="1">
        <v>0.0</v>
      </c>
      <c r="K5" s="6">
        <f>(A10*((M5*1000000)/6500000))+45</f>
        <v>247.5</v>
      </c>
      <c r="L5" s="6">
        <v>40.0</v>
      </c>
      <c r="M5" s="1">
        <v>40.5</v>
      </c>
      <c r="N5" s="6">
        <f t="shared" si="2"/>
        <v>102.4</v>
      </c>
      <c r="O5" s="1">
        <v>0.00125</v>
      </c>
      <c r="P5" s="6">
        <f>7289*2000*8/5000000</f>
        <v>23.3248</v>
      </c>
      <c r="Q5" s="1">
        <v>1919.0</v>
      </c>
      <c r="R5" s="1">
        <v>4080.0</v>
      </c>
      <c r="T5" s="6">
        <f>(A10*((V5*1000000)/6500000))+45</f>
        <v>247.5</v>
      </c>
      <c r="U5" s="6">
        <v>40.0</v>
      </c>
      <c r="V5" s="1">
        <v>40.5</v>
      </c>
      <c r="W5" s="6">
        <f t="shared" si="3"/>
        <v>100.8</v>
      </c>
      <c r="X5" s="1">
        <v>0.0159</v>
      </c>
      <c r="Y5" s="6">
        <f>4506*2000*8/5000000</f>
        <v>14.4192</v>
      </c>
      <c r="Z5" s="1">
        <v>4852.0</v>
      </c>
      <c r="AA5" s="1">
        <v>12721.0</v>
      </c>
    </row>
    <row r="6">
      <c r="B6" s="6">
        <f>(A10*((D6*1000000)/6500000))+45</f>
        <v>484</v>
      </c>
      <c r="C6" s="6">
        <v>80.0</v>
      </c>
      <c r="D6" s="1">
        <v>87.8</v>
      </c>
      <c r="E6" s="6">
        <f>2000*8*3*2800/1000000</f>
        <v>134.4</v>
      </c>
      <c r="F6" s="1">
        <v>3.6E-4</v>
      </c>
      <c r="G6" s="6">
        <f>13799*2000*8/5000000</f>
        <v>44.1568</v>
      </c>
      <c r="H6" s="1">
        <v>1579.0</v>
      </c>
      <c r="I6" s="1">
        <v>3228.0</v>
      </c>
      <c r="K6" s="6">
        <f>(A10*((M6*1000000)/6500000))+45</f>
        <v>484</v>
      </c>
      <c r="L6" s="6">
        <v>80.0</v>
      </c>
      <c r="M6" s="1">
        <v>87.8</v>
      </c>
      <c r="N6" s="6">
        <f>2000*8*8*1030/1000000</f>
        <v>131.84</v>
      </c>
      <c r="O6" s="1">
        <v>9.8E-4</v>
      </c>
      <c r="P6" s="6">
        <f>12276*2000*8/5000000</f>
        <v>39.2832</v>
      </c>
      <c r="Q6" s="1">
        <v>3181.0</v>
      </c>
      <c r="R6" s="1">
        <v>6759.0</v>
      </c>
      <c r="T6" s="6">
        <f>(A10*((V6*1000000)/6500000))+45</f>
        <v>484</v>
      </c>
      <c r="U6" s="6">
        <v>80.0</v>
      </c>
      <c r="V6" s="1">
        <v>87.8</v>
      </c>
      <c r="W6" s="6">
        <f>2000*8*100*83/1000000</f>
        <v>132.8</v>
      </c>
      <c r="X6" s="1">
        <v>0.012</v>
      </c>
      <c r="Y6" s="6">
        <f>7269*2000*8/5000000</f>
        <v>23.2608</v>
      </c>
      <c r="Z6" s="1">
        <v>7809.0</v>
      </c>
      <c r="AA6" s="1">
        <v>20261.0</v>
      </c>
    </row>
    <row r="7">
      <c r="B7" s="6">
        <f>(A10*((D7*1000000)/6500000))+45</f>
        <v>922.5</v>
      </c>
      <c r="C7" s="6">
        <v>160.0</v>
      </c>
      <c r="D7" s="1">
        <v>175.5</v>
      </c>
      <c r="E7" s="6">
        <f>2000*8*3*5600/1000000</f>
        <v>268.8</v>
      </c>
      <c r="F7" s="1">
        <v>1.8E-4</v>
      </c>
      <c r="G7" s="6">
        <f>19330*2000*8/5000000</f>
        <v>61.856</v>
      </c>
      <c r="H7" s="1">
        <v>2257.0</v>
      </c>
      <c r="I7" s="1">
        <v>4609.0</v>
      </c>
      <c r="K7" s="6">
        <f>(A10*((M7*1000000)/6500000))+45</f>
        <v>922.5</v>
      </c>
      <c r="L7" s="6">
        <v>160.0</v>
      </c>
      <c r="M7" s="1">
        <v>175.5</v>
      </c>
      <c r="N7" s="6">
        <f>2000*8*8*2100/1000000</f>
        <v>268.8</v>
      </c>
      <c r="O7" s="1">
        <v>4.8E-4</v>
      </c>
      <c r="P7" s="6">
        <f>17258*2000*8/5000000</f>
        <v>55.2256</v>
      </c>
      <c r="Q7" s="1">
        <v>4443.0</v>
      </c>
      <c r="R7" s="1">
        <v>9471.0</v>
      </c>
      <c r="T7" s="6">
        <f>(A10*((V7*1000000)/6500000))+45</f>
        <v>922.5</v>
      </c>
      <c r="U7" s="6">
        <v>160.0</v>
      </c>
      <c r="V7" s="1">
        <v>175.5</v>
      </c>
      <c r="W7" s="6">
        <f>2000*8*100*165/1000000</f>
        <v>264</v>
      </c>
      <c r="X7" s="1">
        <v>0.006</v>
      </c>
      <c r="Y7" s="6">
        <f>9944*2000*8/5000000</f>
        <v>31.8208</v>
      </c>
      <c r="Z7" s="1">
        <v>10728.0</v>
      </c>
      <c r="AA7" s="1">
        <v>27689.0</v>
      </c>
    </row>
    <row r="8">
      <c r="O8" s="1"/>
    </row>
    <row r="9">
      <c r="A9" s="1" t="s">
        <v>15</v>
      </c>
      <c r="C9" s="2" t="s">
        <v>16</v>
      </c>
      <c r="D9" s="2" t="s">
        <v>17</v>
      </c>
      <c r="E9" s="2" t="s">
        <v>18</v>
      </c>
      <c r="L9" s="2" t="s">
        <v>16</v>
      </c>
      <c r="M9" s="2" t="s">
        <v>17</v>
      </c>
      <c r="N9" s="2" t="s">
        <v>18</v>
      </c>
      <c r="U9" s="2" t="s">
        <v>16</v>
      </c>
      <c r="V9" s="2" t="s">
        <v>17</v>
      </c>
      <c r="W9" s="2" t="s">
        <v>18</v>
      </c>
    </row>
    <row r="10">
      <c r="A10" s="1">
        <v>32.5</v>
      </c>
      <c r="C10" s="6">
        <f t="shared" ref="C10:C13" si="4">G4/D4*100</f>
        <v>74.89641026</v>
      </c>
      <c r="D10" s="6">
        <f t="shared" ref="D10:D13" si="5">B4/2000*100</f>
        <v>7.125</v>
      </c>
      <c r="E10" s="6">
        <f t="shared" ref="E10:E13" si="6">H4/(G4/(2000*8)*10000000)*100</f>
        <v>5.773444347</v>
      </c>
      <c r="L10" s="6">
        <f t="shared" ref="L10:L13" si="7">P4/M4*100</f>
        <v>66.2974359</v>
      </c>
      <c r="M10" s="6">
        <f t="shared" ref="M10:M13" si="8">K4/2000*100</f>
        <v>7.125</v>
      </c>
      <c r="N10" s="6">
        <f t="shared" ref="N10:N13" si="9">Q4/(P4/(2000*8)*5000000)*100</f>
        <v>26.26237624</v>
      </c>
      <c r="U10" s="6">
        <f t="shared" ref="U10:U13" si="10">Y4/V4*100</f>
        <v>43.58564103</v>
      </c>
      <c r="V10" s="6">
        <f t="shared" ref="V10:V13" si="11">T4/2000*100</f>
        <v>7.125</v>
      </c>
      <c r="W10" s="6">
        <f t="shared" ref="W10:W13" si="12">Z4/(Y4/(2000*8)*5000000)*100</f>
        <v>110.4668675</v>
      </c>
      <c r="Y10" s="1"/>
    </row>
    <row r="11">
      <c r="C11" s="6">
        <f t="shared" si="4"/>
        <v>79.14666667</v>
      </c>
      <c r="D11" s="6">
        <f t="shared" si="5"/>
        <v>12.375</v>
      </c>
      <c r="E11" s="6">
        <f t="shared" si="6"/>
        <v>0</v>
      </c>
      <c r="L11" s="6">
        <f t="shared" si="7"/>
        <v>57.59209877</v>
      </c>
      <c r="M11" s="6">
        <f t="shared" si="8"/>
        <v>12.375</v>
      </c>
      <c r="N11" s="6">
        <f t="shared" si="9"/>
        <v>26.32734257</v>
      </c>
      <c r="U11" s="6">
        <f t="shared" si="10"/>
        <v>35.60296296</v>
      </c>
      <c r="V11" s="6">
        <f t="shared" si="11"/>
        <v>12.375</v>
      </c>
      <c r="W11" s="6">
        <f t="shared" si="12"/>
        <v>107.6786507</v>
      </c>
    </row>
    <row r="12">
      <c r="C12" s="6">
        <f t="shared" si="4"/>
        <v>50.29248292</v>
      </c>
      <c r="D12" s="6">
        <f t="shared" si="5"/>
        <v>24.2</v>
      </c>
      <c r="E12" s="6">
        <f t="shared" si="6"/>
        <v>5.721429089</v>
      </c>
      <c r="L12" s="6">
        <f t="shared" si="7"/>
        <v>44.74168565</v>
      </c>
      <c r="M12" s="6">
        <f t="shared" si="8"/>
        <v>24.2</v>
      </c>
      <c r="N12" s="6">
        <f t="shared" si="9"/>
        <v>25.9123493</v>
      </c>
      <c r="U12" s="6">
        <f t="shared" si="10"/>
        <v>26.4929385</v>
      </c>
      <c r="V12" s="6">
        <f t="shared" si="11"/>
        <v>24.2</v>
      </c>
      <c r="W12" s="6">
        <f t="shared" si="12"/>
        <v>107.4288073</v>
      </c>
    </row>
    <row r="13">
      <c r="C13" s="6">
        <f t="shared" si="4"/>
        <v>35.24558405</v>
      </c>
      <c r="D13" s="6">
        <f t="shared" si="5"/>
        <v>46.125</v>
      </c>
      <c r="E13" s="6">
        <f t="shared" si="6"/>
        <v>5.83807553</v>
      </c>
      <c r="L13" s="6">
        <f t="shared" si="7"/>
        <v>31.46757835</v>
      </c>
      <c r="M13" s="6">
        <f t="shared" si="8"/>
        <v>46.125</v>
      </c>
      <c r="N13" s="6">
        <f t="shared" si="9"/>
        <v>25.74458222</v>
      </c>
      <c r="U13" s="6">
        <f t="shared" si="10"/>
        <v>18.13150997</v>
      </c>
      <c r="V13" s="6">
        <f t="shared" si="11"/>
        <v>46.125</v>
      </c>
      <c r="W13" s="6">
        <f t="shared" si="12"/>
        <v>107.8841512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>
      <c r="A40" s="1" t="s">
        <v>19</v>
      </c>
      <c r="B40" s="2" t="s">
        <v>1</v>
      </c>
      <c r="E40" s="3"/>
      <c r="F40" s="3"/>
      <c r="G40" s="3"/>
      <c r="J40" s="4" t="s">
        <v>19</v>
      </c>
      <c r="K40" s="2" t="s">
        <v>1</v>
      </c>
      <c r="L40" s="3"/>
      <c r="M40" s="3"/>
      <c r="N40" s="3"/>
      <c r="O40" s="3"/>
      <c r="S40" s="4" t="s">
        <v>19</v>
      </c>
      <c r="T40" s="2" t="s">
        <v>1</v>
      </c>
      <c r="U40" s="3"/>
      <c r="V40" s="3"/>
      <c r="W40" s="3"/>
      <c r="X40" s="3"/>
    </row>
    <row r="41" ht="15.75" customHeight="1">
      <c r="A41" s="3" t="s">
        <v>4</v>
      </c>
      <c r="B41" s="2" t="s">
        <v>3</v>
      </c>
      <c r="D41" s="2"/>
      <c r="E41" s="2"/>
      <c r="F41" s="2"/>
      <c r="G41" s="2"/>
      <c r="J41" s="3" t="s">
        <v>4</v>
      </c>
      <c r="K41" s="5" t="s">
        <v>5</v>
      </c>
      <c r="L41" s="2"/>
      <c r="M41" s="2"/>
      <c r="N41" s="2"/>
      <c r="O41" s="2"/>
      <c r="S41" s="3" t="s">
        <v>4</v>
      </c>
      <c r="T41" s="5" t="s">
        <v>6</v>
      </c>
      <c r="U41" s="2"/>
      <c r="V41" s="2"/>
      <c r="W41" s="2"/>
      <c r="X41" s="2"/>
    </row>
    <row r="42" ht="15.75" customHeight="1">
      <c r="B42" s="2" t="s">
        <v>7</v>
      </c>
      <c r="C42" s="2" t="s">
        <v>8</v>
      </c>
      <c r="D42" s="2" t="s">
        <v>9</v>
      </c>
      <c r="E42" s="2" t="s">
        <v>10</v>
      </c>
      <c r="F42" s="2" t="s">
        <v>11</v>
      </c>
      <c r="G42" s="2" t="s">
        <v>12</v>
      </c>
      <c r="H42" s="2" t="s">
        <v>13</v>
      </c>
      <c r="I42" s="2" t="s">
        <v>14</v>
      </c>
      <c r="K42" s="2" t="s">
        <v>7</v>
      </c>
      <c r="L42" s="2" t="s">
        <v>8</v>
      </c>
      <c r="M42" s="2" t="s">
        <v>9</v>
      </c>
      <c r="N42" s="2" t="s">
        <v>10</v>
      </c>
      <c r="O42" s="2" t="s">
        <v>11</v>
      </c>
      <c r="P42" s="2" t="s">
        <v>12</v>
      </c>
      <c r="Q42" s="2" t="s">
        <v>13</v>
      </c>
      <c r="R42" s="2" t="s">
        <v>14</v>
      </c>
      <c r="S42" s="3"/>
      <c r="T42" s="2" t="s">
        <v>7</v>
      </c>
      <c r="U42" s="2" t="s">
        <v>8</v>
      </c>
      <c r="V42" s="2" t="s">
        <v>9</v>
      </c>
      <c r="W42" s="2" t="s">
        <v>10</v>
      </c>
      <c r="X42" s="2" t="s">
        <v>11</v>
      </c>
      <c r="Y42" s="2" t="s">
        <v>12</v>
      </c>
      <c r="Z42" s="2" t="s">
        <v>13</v>
      </c>
      <c r="AA42" s="2" t="s">
        <v>14</v>
      </c>
    </row>
    <row r="43" ht="15.75" customHeight="1">
      <c r="B43" s="6">
        <f>(A10*((D43*1000000)/6500000))+45</f>
        <v>175</v>
      </c>
      <c r="C43" s="6">
        <v>20.0</v>
      </c>
      <c r="D43" s="1">
        <v>26.0</v>
      </c>
      <c r="E43" s="6">
        <f t="shared" ref="E43:E44" si="13">2000*8*3*2100/1000000</f>
        <v>100.8</v>
      </c>
      <c r="F43" s="6">
        <v>5.0E-4</v>
      </c>
      <c r="G43" s="6">
        <f>5833*2000*8/5000000</f>
        <v>18.6656</v>
      </c>
      <c r="H43" s="1">
        <v>664.0</v>
      </c>
      <c r="I43" s="1">
        <v>1358.0</v>
      </c>
      <c r="K43" s="6">
        <f>($A$10*((M43*1000000)/6500000))+45</f>
        <v>175</v>
      </c>
      <c r="L43" s="6">
        <v>20.0</v>
      </c>
      <c r="M43" s="1">
        <v>26.0</v>
      </c>
      <c r="N43" s="6">
        <f t="shared" ref="N43:N44" si="14">2000*8*8*800/1000000</f>
        <v>102.4</v>
      </c>
      <c r="O43" s="1">
        <v>0.00125</v>
      </c>
      <c r="P43" s="6">
        <f>5150*2000*8/5000000</f>
        <v>16.48</v>
      </c>
      <c r="Q43" s="1">
        <v>1346.0</v>
      </c>
      <c r="R43" s="1">
        <v>2876.0</v>
      </c>
      <c r="T43" s="6">
        <f>($A10*((V43*1000000)/6500000))+45</f>
        <v>175</v>
      </c>
      <c r="U43" s="6">
        <v>20.0</v>
      </c>
      <c r="V43" s="1">
        <v>26.0</v>
      </c>
      <c r="W43" s="6">
        <f t="shared" ref="W43:W44" si="15">2000*8*100*63/1000000</f>
        <v>100.8</v>
      </c>
      <c r="X43" s="1">
        <v>0.016</v>
      </c>
      <c r="Y43" s="6">
        <f>3273*2000*8/5000000</f>
        <v>10.4736</v>
      </c>
      <c r="Z43" s="1">
        <v>3558.0</v>
      </c>
      <c r="AA43" s="1">
        <v>9467.0</v>
      </c>
    </row>
    <row r="44" ht="15.75" customHeight="1">
      <c r="B44" s="6">
        <f>(A10*((D44*1000000)/6500000))+45</f>
        <v>315</v>
      </c>
      <c r="C44" s="6">
        <v>40.0</v>
      </c>
      <c r="D44" s="1">
        <v>54.0</v>
      </c>
      <c r="E44" s="6">
        <f t="shared" si="13"/>
        <v>100.8</v>
      </c>
      <c r="F44" s="6">
        <v>5.0E-4</v>
      </c>
      <c r="G44" s="6">
        <f>10069*2000*8/5000000</f>
        <v>32.2208</v>
      </c>
      <c r="H44" s="1">
        <v>1217.0</v>
      </c>
      <c r="I44" s="1">
        <v>2469.0</v>
      </c>
      <c r="K44" s="6">
        <f>($A10*((M44*1000000)/6500000))+45</f>
        <v>315</v>
      </c>
      <c r="L44" s="6">
        <v>40.0</v>
      </c>
      <c r="M44" s="1">
        <v>54.0</v>
      </c>
      <c r="N44" s="6">
        <f t="shared" si="14"/>
        <v>102.4</v>
      </c>
      <c r="O44" s="1">
        <v>0.00125</v>
      </c>
      <c r="P44" s="6">
        <f>9047*2000*8/5000000</f>
        <v>28.9504</v>
      </c>
      <c r="Q44" s="1">
        <v>2302.0</v>
      </c>
      <c r="R44" s="1">
        <v>4907.0</v>
      </c>
      <c r="T44" s="6">
        <f>($A10*((V44*1000000)/6500000))+45</f>
        <v>315</v>
      </c>
      <c r="U44" s="6">
        <v>40.0</v>
      </c>
      <c r="V44" s="1">
        <v>54.0</v>
      </c>
      <c r="W44" s="6">
        <f t="shared" si="15"/>
        <v>100.8</v>
      </c>
      <c r="X44" s="1">
        <v>0.016</v>
      </c>
      <c r="Y44" s="6">
        <f>5457*2000*8/5000000</f>
        <v>17.4624</v>
      </c>
      <c r="Z44" s="1">
        <v>5854.0</v>
      </c>
      <c r="AA44" s="1">
        <v>15351.0</v>
      </c>
    </row>
    <row r="45" ht="15.75" customHeight="1">
      <c r="B45" s="6">
        <f>(A10*((D45*1000000)/6500000))+45</f>
        <v>630</v>
      </c>
      <c r="C45" s="6">
        <v>80.0</v>
      </c>
      <c r="D45" s="1">
        <v>117.0</v>
      </c>
      <c r="E45" s="6">
        <f>2000*8*3*3670/1000000</f>
        <v>176.16</v>
      </c>
      <c r="F45" s="1">
        <v>2.7E-4</v>
      </c>
      <c r="G45" s="6">
        <f>16121*2000*8/5000000</f>
        <v>51.5872</v>
      </c>
      <c r="H45" s="1">
        <v>1868.0</v>
      </c>
      <c r="I45" s="1">
        <v>3820.0</v>
      </c>
      <c r="K45" s="6">
        <f>($A10*((M45*1000000)/6500000))+45</f>
        <v>630</v>
      </c>
      <c r="L45" s="6">
        <v>80.0</v>
      </c>
      <c r="M45" s="1">
        <v>117.0</v>
      </c>
      <c r="N45" s="6">
        <f>2000*8*8*1400/1000000</f>
        <v>179.2</v>
      </c>
      <c r="O45" s="1">
        <v>7.14E-4</v>
      </c>
      <c r="P45" s="6">
        <f>14348*2000*8/5000000</f>
        <v>45.9136</v>
      </c>
      <c r="Q45" s="1">
        <v>3713.0</v>
      </c>
      <c r="R45" s="1">
        <v>7950.0</v>
      </c>
      <c r="T45" s="6">
        <f>($A10*((V45*1000000)/6500000))+45</f>
        <v>630</v>
      </c>
      <c r="U45" s="6">
        <v>80.0</v>
      </c>
      <c r="V45" s="1">
        <v>117.0</v>
      </c>
      <c r="W45" s="6">
        <f>2000*8*100*110/1000000</f>
        <v>176</v>
      </c>
      <c r="X45" s="1">
        <v>0.0091</v>
      </c>
      <c r="Y45" s="6">
        <f>8314*2000*8/5000000</f>
        <v>26.6048</v>
      </c>
      <c r="Z45" s="1">
        <v>9071.0</v>
      </c>
      <c r="AA45" s="1">
        <v>23361.0</v>
      </c>
    </row>
    <row r="46" ht="15.75" customHeight="1">
      <c r="B46" s="6">
        <f>(A10*((D46*1000000)/6500000))+45</f>
        <v>1215</v>
      </c>
      <c r="C46" s="6">
        <v>160.0</v>
      </c>
      <c r="D46" s="1">
        <v>234.0</v>
      </c>
      <c r="E46" s="6">
        <f>2000*8*3*7350/1000000</f>
        <v>352.8</v>
      </c>
      <c r="F46" s="1">
        <v>1.36E-4</v>
      </c>
      <c r="G46" s="6">
        <f>21619*2000*8/5000000</f>
        <v>69.1808</v>
      </c>
      <c r="H46" s="1">
        <v>2488.0</v>
      </c>
      <c r="I46" s="1">
        <v>5086.0</v>
      </c>
      <c r="K46" s="6">
        <f>($A10*((M46*1000000)/6500000))+45</f>
        <v>1215</v>
      </c>
      <c r="L46" s="6">
        <v>160.0</v>
      </c>
      <c r="M46" s="1">
        <v>234.0</v>
      </c>
      <c r="N46" s="6">
        <f>2000*8*8*2800/1000000</f>
        <v>358.4</v>
      </c>
      <c r="O46" s="1">
        <v>3.57E-4</v>
      </c>
      <c r="P46" s="6">
        <f>19148*2000*8/5000000</f>
        <v>61.2736</v>
      </c>
      <c r="Q46" s="1">
        <v>5018.0</v>
      </c>
      <c r="R46" s="1">
        <v>10722.0</v>
      </c>
      <c r="T46" s="6">
        <f>($A10*((V46*1000000)/6500000))+45</f>
        <v>1215</v>
      </c>
      <c r="U46" s="6">
        <v>160.0</v>
      </c>
      <c r="V46" s="1">
        <v>234.0</v>
      </c>
      <c r="W46" s="6">
        <f>2000*8*100*220/1000000</f>
        <v>352</v>
      </c>
      <c r="X46" s="1">
        <v>0.00455</v>
      </c>
      <c r="Y46" s="6">
        <f>10840*2000*8/5000000</f>
        <v>34.688</v>
      </c>
      <c r="Z46" s="1">
        <v>11849.0</v>
      </c>
      <c r="AA46" s="1">
        <v>30675.0</v>
      </c>
    </row>
    <row r="47" ht="15.75" customHeight="1"/>
    <row r="48" ht="15.75" customHeight="1">
      <c r="C48" s="2" t="s">
        <v>16</v>
      </c>
      <c r="D48" s="2" t="s">
        <v>17</v>
      </c>
      <c r="E48" s="2" t="s">
        <v>18</v>
      </c>
      <c r="L48" s="2" t="s">
        <v>16</v>
      </c>
      <c r="M48" s="2" t="s">
        <v>17</v>
      </c>
      <c r="N48" s="2" t="s">
        <v>18</v>
      </c>
      <c r="U48" s="2" t="s">
        <v>16</v>
      </c>
      <c r="V48" s="2" t="s">
        <v>17</v>
      </c>
      <c r="W48" s="2" t="s">
        <v>18</v>
      </c>
    </row>
    <row r="49" ht="15.75" customHeight="1">
      <c r="C49" s="6">
        <f t="shared" ref="C49:C52" si="16">G43/D43*100</f>
        <v>71.79076923</v>
      </c>
      <c r="D49" s="6">
        <f t="shared" ref="D49:D52" si="17">B43/2000*100</f>
        <v>8.75</v>
      </c>
      <c r="E49" s="6">
        <f t="shared" ref="E49:E52" si="18">H43/(G43/(2000*8)*5000000)*100</f>
        <v>11.38350763</v>
      </c>
      <c r="L49" s="6">
        <f t="shared" ref="L49:L52" si="19">P43/M43*100</f>
        <v>63.38461538</v>
      </c>
      <c r="M49" s="6">
        <f t="shared" ref="M49:M52" si="20">K43/2000*100</f>
        <v>8.75</v>
      </c>
      <c r="N49" s="6">
        <f t="shared" ref="N49:N52" si="21">Q43/(P43/(2000*8)*5000000)*100</f>
        <v>26.13592233</v>
      </c>
      <c r="U49" s="6">
        <f t="shared" ref="U49:U52" si="22">Y43/V43*100</f>
        <v>40.28307692</v>
      </c>
      <c r="V49" s="6">
        <f t="shared" ref="V49:V52" si="23">T43/2000*100</f>
        <v>8.75</v>
      </c>
      <c r="W49" s="6">
        <f t="shared" ref="W49:W52" si="24">Z43/(Y43/(2000*8)*5000000)*100</f>
        <v>108.7076077</v>
      </c>
    </row>
    <row r="50" ht="15.75" customHeight="1">
      <c r="C50" s="6">
        <f t="shared" si="16"/>
        <v>59.66814815</v>
      </c>
      <c r="D50" s="6">
        <f t="shared" si="17"/>
        <v>15.75</v>
      </c>
      <c r="E50" s="6">
        <f t="shared" si="18"/>
        <v>12.08660244</v>
      </c>
      <c r="L50" s="6">
        <f t="shared" si="19"/>
        <v>53.61185185</v>
      </c>
      <c r="M50" s="6">
        <f t="shared" si="20"/>
        <v>15.75</v>
      </c>
      <c r="N50" s="6">
        <f t="shared" si="21"/>
        <v>25.44489886</v>
      </c>
      <c r="U50" s="6">
        <f t="shared" si="22"/>
        <v>32.33777778</v>
      </c>
      <c r="V50" s="6">
        <f t="shared" si="23"/>
        <v>15.75</v>
      </c>
      <c r="W50" s="6">
        <f t="shared" si="24"/>
        <v>107.2750596</v>
      </c>
    </row>
    <row r="51" ht="15.75" customHeight="1">
      <c r="C51" s="6">
        <f t="shared" si="16"/>
        <v>44.09162393</v>
      </c>
      <c r="D51" s="6">
        <f t="shared" si="17"/>
        <v>31.5</v>
      </c>
      <c r="E51" s="6">
        <f t="shared" si="18"/>
        <v>11.58737051</v>
      </c>
      <c r="L51" s="6">
        <f t="shared" si="19"/>
        <v>39.24239316</v>
      </c>
      <c r="M51" s="6">
        <f t="shared" si="20"/>
        <v>31.5</v>
      </c>
      <c r="N51" s="6">
        <f t="shared" si="21"/>
        <v>25.87817117</v>
      </c>
      <c r="U51" s="6">
        <f t="shared" si="22"/>
        <v>22.7391453</v>
      </c>
      <c r="V51" s="6">
        <f t="shared" si="23"/>
        <v>31.5</v>
      </c>
      <c r="W51" s="6">
        <f t="shared" si="24"/>
        <v>109.1051239</v>
      </c>
    </row>
    <row r="52" ht="15.75" customHeight="1">
      <c r="C52" s="6">
        <f t="shared" si="16"/>
        <v>29.56444444</v>
      </c>
      <c r="D52" s="6">
        <f t="shared" si="17"/>
        <v>60.75</v>
      </c>
      <c r="E52" s="6">
        <f t="shared" si="18"/>
        <v>11.50839539</v>
      </c>
      <c r="L52" s="6">
        <f t="shared" si="19"/>
        <v>26.18529915</v>
      </c>
      <c r="M52" s="6">
        <f t="shared" si="20"/>
        <v>60.75</v>
      </c>
      <c r="N52" s="6">
        <f t="shared" si="21"/>
        <v>26.20639231</v>
      </c>
      <c r="U52" s="6">
        <f t="shared" si="22"/>
        <v>14.82393162</v>
      </c>
      <c r="V52" s="6">
        <f t="shared" si="23"/>
        <v>60.75</v>
      </c>
      <c r="W52" s="6">
        <f t="shared" si="24"/>
        <v>109.3081181</v>
      </c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>
      <c r="O63" s="6" t="s">
        <v>20</v>
      </c>
    </row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