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hidePivotFieldList="1" autoCompressPictures="0"/>
  <bookViews>
    <workbookView xWindow="165" yWindow="45" windowWidth="15225" windowHeight="7410" tabRatio="848" firstSheet="1" activeTab="8"/>
  </bookViews>
  <sheets>
    <sheet name="Budget Details" sheetId="1" state="hidden" r:id="rId1"/>
    <sheet name="BOQ MC 0" sheetId="29" r:id="rId2"/>
    <sheet name="Rekap Budget" sheetId="23" r:id="rId3"/>
    <sheet name="Budget" sheetId="6" r:id="rId4"/>
    <sheet name="Rekap mingguan" sheetId="10" r:id="rId5"/>
    <sheet name="Rincian harian MC0" sheetId="28" r:id="rId6"/>
    <sheet name="Ssdl Alat bhn" sheetId="24" r:id="rId7"/>
    <sheet name="Pekerjaan Sub" sheetId="25" r:id="rId8"/>
    <sheet name="Analisa bahan " sheetId="2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A">[1]A!#REF!</definedName>
    <definedName name="\B">[1]A!#REF!</definedName>
    <definedName name="\D">[1]A!#REF!</definedName>
    <definedName name="\E">[1]A!#REF!</definedName>
    <definedName name="\G">[1]A!#REF!</definedName>
    <definedName name="\H1">#REF!</definedName>
    <definedName name="\H4">#REF!</definedName>
    <definedName name="\H5">#REF!</definedName>
    <definedName name="\H6">#REF!</definedName>
    <definedName name="\H7">#REF!</definedName>
    <definedName name="\L">[1]A!#REF!</definedName>
    <definedName name="\M">[1]A!#REF!</definedName>
    <definedName name="\P">[1]A!#REF!</definedName>
    <definedName name="\R">[1]A!#REF!</definedName>
    <definedName name="\T">[1]A!#REF!</definedName>
    <definedName name="\U">[1]A!#REF!</definedName>
    <definedName name="\V">[1]A!#REF!</definedName>
    <definedName name="\X">[1]A!#REF!</definedName>
    <definedName name="\Z">[1]A!#REF!</definedName>
    <definedName name="_">[2]Analisa!$A$1:$J$7</definedName>
    <definedName name="___________________________MDE01">#REF!</definedName>
    <definedName name="___________________________MDE02">#REF!</definedName>
    <definedName name="___________________________MDE03">#REF!</definedName>
    <definedName name="___________________________MDE04">#REF!</definedName>
    <definedName name="___________________________MDE05">#REF!</definedName>
    <definedName name="___________________________MDE06">#REF!</definedName>
    <definedName name="___________________________MDE07">#REF!</definedName>
    <definedName name="___________________________MDE08">#REF!</definedName>
    <definedName name="___________________________MDE09">#REF!</definedName>
    <definedName name="___________________________MDE10">#REF!</definedName>
    <definedName name="___________________________MDE11">#REF!</definedName>
    <definedName name="___________________________MDE12">#REF!</definedName>
    <definedName name="___________________________MDE13">#REF!</definedName>
    <definedName name="___________________________MDE14">#REF!</definedName>
    <definedName name="___________________________MDE15">#REF!</definedName>
    <definedName name="___________________________MDE16">#REF!</definedName>
    <definedName name="___________________________MDE17">#REF!</definedName>
    <definedName name="___________________________MDE18">#REF!</definedName>
    <definedName name="___________________________MDE19">#REF!</definedName>
    <definedName name="___________________________MDE20">#REF!</definedName>
    <definedName name="___________________________MDE21">#REF!</definedName>
    <definedName name="___________________________MDE22">#REF!</definedName>
    <definedName name="___________________________MDE23">#REF!</definedName>
    <definedName name="___________________________MDE24">#REF!</definedName>
    <definedName name="___________________________MDE25">#REF!</definedName>
    <definedName name="___________________________MDE26">#REF!</definedName>
    <definedName name="___________________________MDE27">#REF!</definedName>
    <definedName name="___________________________MDE28">#REF!</definedName>
    <definedName name="___________________________MDE29">#REF!</definedName>
    <definedName name="___________________________MDE30">#REF!</definedName>
    <definedName name="___________________________MDE31">#REF!</definedName>
    <definedName name="___________________________MDE32">#REF!</definedName>
    <definedName name="___________________________MDE33">#REF!</definedName>
    <definedName name="___________________________MDE34">#REF!</definedName>
    <definedName name="___________________________ME01">#REF!</definedName>
    <definedName name="___________________________ME02">#REF!</definedName>
    <definedName name="___________________________ME03">#REF!</definedName>
    <definedName name="___________________________ME04">#REF!</definedName>
    <definedName name="___________________________ME05">#REF!</definedName>
    <definedName name="___________________________ME06">#REF!</definedName>
    <definedName name="___________________________ME07">#REF!</definedName>
    <definedName name="___________________________ME08">#REF!</definedName>
    <definedName name="___________________________ME09">#REF!</definedName>
    <definedName name="___________________________ME10">#REF!</definedName>
    <definedName name="___________________________ME11">#REF!</definedName>
    <definedName name="___________________________ME12">#REF!</definedName>
    <definedName name="___________________________ME13">#REF!</definedName>
    <definedName name="___________________________ME14">#REF!</definedName>
    <definedName name="___________________________ME15">#REF!</definedName>
    <definedName name="___________________________ME16">#REF!</definedName>
    <definedName name="___________________________ME17">#REF!</definedName>
    <definedName name="___________________________ME18">#REF!</definedName>
    <definedName name="___________________________ME19">#REF!</definedName>
    <definedName name="___________________________ME20">#REF!</definedName>
    <definedName name="___________________________ME21">#REF!</definedName>
    <definedName name="___________________________ME22">#REF!</definedName>
    <definedName name="___________________________ME23">#REF!</definedName>
    <definedName name="___________________________ME24">#REF!</definedName>
    <definedName name="___________________________ME25">#REF!</definedName>
    <definedName name="___________________________ME26">#REF!</definedName>
    <definedName name="___________________________ME27">#REF!</definedName>
    <definedName name="___________________________ME28">#REF!</definedName>
    <definedName name="___________________________ME29">#REF!</definedName>
    <definedName name="___________________________ME30">#REF!</definedName>
    <definedName name="___________________________ME31">#REF!</definedName>
    <definedName name="___________________________ME32">#REF!</definedName>
    <definedName name="___________________________ME33">#REF!</definedName>
    <definedName name="___________________________ME34">#REF!</definedName>
    <definedName name="__________________________DIV11">'[3]Kuantitas &amp; Harga'!#REF!</definedName>
    <definedName name="__________________________MDE01">#REF!</definedName>
    <definedName name="__________________________MDE02">#REF!</definedName>
    <definedName name="__________________________MDE03">#REF!</definedName>
    <definedName name="__________________________MDE04">#REF!</definedName>
    <definedName name="__________________________MDE05">#REF!</definedName>
    <definedName name="__________________________MDE06">#REF!</definedName>
    <definedName name="__________________________MDE07">#REF!</definedName>
    <definedName name="__________________________MDE08">#REF!</definedName>
    <definedName name="__________________________MDE09">#REF!</definedName>
    <definedName name="__________________________MDE10">#REF!</definedName>
    <definedName name="__________________________MDE11">#REF!</definedName>
    <definedName name="__________________________MDE12">#REF!</definedName>
    <definedName name="__________________________MDE13">#REF!</definedName>
    <definedName name="__________________________MDE14">#REF!</definedName>
    <definedName name="__________________________MDE15">#REF!</definedName>
    <definedName name="__________________________MDE16">#REF!</definedName>
    <definedName name="__________________________MDE17">#REF!</definedName>
    <definedName name="__________________________MDE18">#REF!</definedName>
    <definedName name="__________________________MDE19">#REF!</definedName>
    <definedName name="__________________________MDE20">#REF!</definedName>
    <definedName name="__________________________MDE21">#REF!</definedName>
    <definedName name="__________________________MDE22">#REF!</definedName>
    <definedName name="__________________________MDE23">#REF!</definedName>
    <definedName name="__________________________MDE24">#REF!</definedName>
    <definedName name="__________________________MDE25">#REF!</definedName>
    <definedName name="__________________________MDE26">#REF!</definedName>
    <definedName name="__________________________MDE27">#REF!</definedName>
    <definedName name="__________________________MDE28">#REF!</definedName>
    <definedName name="__________________________MDE29">#REF!</definedName>
    <definedName name="__________________________MDE30">#REF!</definedName>
    <definedName name="__________________________MDE31">#REF!</definedName>
    <definedName name="__________________________MDE32">#REF!</definedName>
    <definedName name="__________________________MDE33">#REF!</definedName>
    <definedName name="__________________________MDE34">#REF!</definedName>
    <definedName name="__________________________ME01">#REF!</definedName>
    <definedName name="__________________________ME02">#REF!</definedName>
    <definedName name="__________________________ME03">#REF!</definedName>
    <definedName name="__________________________ME04">#REF!</definedName>
    <definedName name="__________________________ME05">#REF!</definedName>
    <definedName name="__________________________ME06">#REF!</definedName>
    <definedName name="__________________________ME07">#REF!</definedName>
    <definedName name="__________________________ME08">#REF!</definedName>
    <definedName name="__________________________ME09">#REF!</definedName>
    <definedName name="__________________________ME10">#REF!</definedName>
    <definedName name="__________________________ME11">#REF!</definedName>
    <definedName name="__________________________ME12">#REF!</definedName>
    <definedName name="__________________________ME13">#REF!</definedName>
    <definedName name="__________________________ME14">#REF!</definedName>
    <definedName name="__________________________ME15">#REF!</definedName>
    <definedName name="__________________________ME16">#REF!</definedName>
    <definedName name="__________________________ME17">#REF!</definedName>
    <definedName name="__________________________ME18">#REF!</definedName>
    <definedName name="__________________________ME19">#REF!</definedName>
    <definedName name="__________________________ME20">#REF!</definedName>
    <definedName name="__________________________ME21">#REF!</definedName>
    <definedName name="__________________________ME22">#REF!</definedName>
    <definedName name="__________________________ME23">#REF!</definedName>
    <definedName name="__________________________ME24">#REF!</definedName>
    <definedName name="__________________________ME25">#REF!</definedName>
    <definedName name="__________________________ME26">#REF!</definedName>
    <definedName name="__________________________ME27">#REF!</definedName>
    <definedName name="__________________________ME28">#REF!</definedName>
    <definedName name="__________________________ME29">#REF!</definedName>
    <definedName name="__________________________ME30">#REF!</definedName>
    <definedName name="__________________________ME31">#REF!</definedName>
    <definedName name="__________________________ME32">#REF!</definedName>
    <definedName name="__________________________ME33">#REF!</definedName>
    <definedName name="__________________________ME34">#REF!</definedName>
    <definedName name="_________________________DIV11">'[4]daftar kuantitas'!#REF!</definedName>
    <definedName name="_________________________HAL1">#REF!</definedName>
    <definedName name="_________________________HAL2">#REF!</definedName>
    <definedName name="_________________________MDE01">#REF!</definedName>
    <definedName name="_________________________MDE02">#REF!</definedName>
    <definedName name="_________________________MDE03">#REF!</definedName>
    <definedName name="_________________________MDE04">#REF!</definedName>
    <definedName name="_________________________MDE05">#REF!</definedName>
    <definedName name="_________________________MDE06">#REF!</definedName>
    <definedName name="_________________________MDE07">#REF!</definedName>
    <definedName name="_________________________MDE08">#REF!</definedName>
    <definedName name="_________________________MDE09">#REF!</definedName>
    <definedName name="_________________________MDE10">#REF!</definedName>
    <definedName name="_________________________MDE11">#REF!</definedName>
    <definedName name="_________________________MDE12">#REF!</definedName>
    <definedName name="_________________________MDE13">#REF!</definedName>
    <definedName name="_________________________MDE14">#REF!</definedName>
    <definedName name="_________________________MDE15">#REF!</definedName>
    <definedName name="_________________________MDE16">#REF!</definedName>
    <definedName name="_________________________MDE17">#REF!</definedName>
    <definedName name="_________________________MDE18">#REF!</definedName>
    <definedName name="_________________________MDE19">#REF!</definedName>
    <definedName name="_________________________MDE20">#REF!</definedName>
    <definedName name="_________________________MDE21">#REF!</definedName>
    <definedName name="_________________________MDE22">#REF!</definedName>
    <definedName name="_________________________MDE23">#REF!</definedName>
    <definedName name="_________________________MDE24">#REF!</definedName>
    <definedName name="_________________________MDE25">#REF!</definedName>
    <definedName name="_________________________MDE26">#REF!</definedName>
    <definedName name="_________________________MDE27">#REF!</definedName>
    <definedName name="_________________________MDE28">#REF!</definedName>
    <definedName name="_________________________MDE29">#REF!</definedName>
    <definedName name="_________________________MDE30">#REF!</definedName>
    <definedName name="_________________________MDE31">#REF!</definedName>
    <definedName name="_________________________MDE32">#REF!</definedName>
    <definedName name="_________________________MDE33">#REF!</definedName>
    <definedName name="_________________________MDE34">#REF!</definedName>
    <definedName name="_________________________ME01">#REF!</definedName>
    <definedName name="_________________________ME02">#REF!</definedName>
    <definedName name="_________________________ME03">#REF!</definedName>
    <definedName name="_________________________ME04">#REF!</definedName>
    <definedName name="_________________________ME05">#REF!</definedName>
    <definedName name="_________________________ME06">#REF!</definedName>
    <definedName name="_________________________ME07">#REF!</definedName>
    <definedName name="_________________________ME08">#REF!</definedName>
    <definedName name="_________________________ME09">#REF!</definedName>
    <definedName name="_________________________ME10">#REF!</definedName>
    <definedName name="_________________________ME11">#REF!</definedName>
    <definedName name="_________________________ME12">#REF!</definedName>
    <definedName name="_________________________ME13">#REF!</definedName>
    <definedName name="_________________________ME14">#REF!</definedName>
    <definedName name="_________________________ME15">#REF!</definedName>
    <definedName name="_________________________ME16">#REF!</definedName>
    <definedName name="_________________________ME17">#REF!</definedName>
    <definedName name="_________________________ME18">#REF!</definedName>
    <definedName name="_________________________ME19">#REF!</definedName>
    <definedName name="_________________________ME20">#REF!</definedName>
    <definedName name="_________________________ME21">#REF!</definedName>
    <definedName name="_________________________ME22">#REF!</definedName>
    <definedName name="_________________________ME23">#REF!</definedName>
    <definedName name="_________________________ME24">#REF!</definedName>
    <definedName name="_________________________ME25">#REF!</definedName>
    <definedName name="_________________________ME26">#REF!</definedName>
    <definedName name="_________________________ME27">#REF!</definedName>
    <definedName name="_________________________ME28">#REF!</definedName>
    <definedName name="_________________________ME29">#REF!</definedName>
    <definedName name="_________________________ME30">#REF!</definedName>
    <definedName name="_________________________ME31">#REF!</definedName>
    <definedName name="_________________________ME32">#REF!</definedName>
    <definedName name="_________________________ME33">#REF!</definedName>
    <definedName name="_________________________ME34">#REF!</definedName>
    <definedName name="________________________DIV1">'[3]Kuantitas &amp; Harga'!$G$20</definedName>
    <definedName name="________________________DIV10">'[3]Kuantitas &amp; Harga'!#REF!</definedName>
    <definedName name="________________________DIV11">'[4]daftar kuantitas'!#REF!</definedName>
    <definedName name="________________________DIV2">'[3]Kuantitas &amp; Harga'!$G$27</definedName>
    <definedName name="________________________DIV3">'[3]Kuantitas &amp; Harga'!$G$38</definedName>
    <definedName name="________________________DIV4">'[3]Kuantitas &amp; Harga'!$G$51</definedName>
    <definedName name="________________________DIV5">'[3]Kuantitas &amp; Harga'!$G$58</definedName>
    <definedName name="________________________DIV6">'[3]Kuantitas &amp; Harga'!$G$67</definedName>
    <definedName name="________________________DIV7">'[3]Kuantitas &amp; Harga'!$G$85</definedName>
    <definedName name="________________________DIV8">'[3]Kuantitas &amp; Harga'!#REF!</definedName>
    <definedName name="________________________DIV9">'[3]Kuantitas &amp; Harga'!#REF!</definedName>
    <definedName name="________________________HAL1">#REF!</definedName>
    <definedName name="________________________HAL2">#REF!</definedName>
    <definedName name="________________________MDE01">[5]ALAT!$BO$27</definedName>
    <definedName name="________________________MDE02">[5]ALAT!$BO$47</definedName>
    <definedName name="________________________MDE03">[5]ALAT!$BO$67</definedName>
    <definedName name="________________________MDE04">[5]ALAT!$BO$87</definedName>
    <definedName name="________________________MDE05">[5]ALAT!$BO$107</definedName>
    <definedName name="________________________MDE06">[5]ALAT!$BO$127</definedName>
    <definedName name="________________________MDE07">[5]ALAT!$BO$147</definedName>
    <definedName name="________________________MDE08">[5]ALAT!$BO$167</definedName>
    <definedName name="________________________MDE09">[5]ALAT!$BO$187</definedName>
    <definedName name="________________________MDE10">[5]ALAT!$BO$207</definedName>
    <definedName name="________________________MDE11">[5]ALAT!$BO$227</definedName>
    <definedName name="________________________MDE12">[5]ALAT!$BO$247</definedName>
    <definedName name="________________________MDE13">[5]ALAT!$BO$267</definedName>
    <definedName name="________________________MDE14">[5]ALAT!$BO$287</definedName>
    <definedName name="________________________MDE15">[5]ALAT!$BO$307</definedName>
    <definedName name="________________________MDE16">[5]ALAT!$BO$327</definedName>
    <definedName name="________________________MDE17">[5]ALAT!$BO$347</definedName>
    <definedName name="________________________MDE18">[5]ALAT!$BO$367</definedName>
    <definedName name="________________________MDE19">[5]ALAT!$BO$387</definedName>
    <definedName name="________________________MDE20">[5]ALAT!$BO$407</definedName>
    <definedName name="________________________MDE21">[5]ALAT!$BO$427</definedName>
    <definedName name="________________________MDE22">[5]ALAT!$BO$447</definedName>
    <definedName name="________________________MDE23">[5]ALAT!$BO$467</definedName>
    <definedName name="________________________MDE24">[5]ALAT!$BO$487</definedName>
    <definedName name="________________________MDE25">[5]ALAT!$BO$507</definedName>
    <definedName name="________________________MDE26">[5]ALAT!$BO$527</definedName>
    <definedName name="________________________MDE27">[5]ALAT!$BO$547</definedName>
    <definedName name="________________________MDE28">[5]ALAT!$BO$567</definedName>
    <definedName name="________________________MDE29">[5]ALAT!$BO$587</definedName>
    <definedName name="________________________MDE30">[5]ALAT!$BO$607</definedName>
    <definedName name="________________________MDE31">[5]ALAT!$BO$627</definedName>
    <definedName name="________________________MDE32">[5]ALAT!$BO$647</definedName>
    <definedName name="________________________MDE33">[5]ALAT!$BO$667</definedName>
    <definedName name="________________________MDE34">[5]ALAT!$BO$698</definedName>
    <definedName name="________________________MDE35">'[6]Peralatan (2)'!$R$27</definedName>
    <definedName name="________________________ME01">[5]ALAT!$BO$26</definedName>
    <definedName name="________________________ME02">[5]ALAT!$BO$46</definedName>
    <definedName name="________________________ME03">[5]ALAT!$BO$66</definedName>
    <definedName name="________________________ME04">[5]ALAT!$BO$86</definedName>
    <definedName name="________________________ME05">[5]ALAT!$BO$106</definedName>
    <definedName name="________________________ME06">[5]ALAT!$BO$126</definedName>
    <definedName name="________________________ME07">[5]ALAT!$BO$146</definedName>
    <definedName name="________________________ME08">[5]ALAT!$BO$166</definedName>
    <definedName name="________________________ME09">[5]ALAT!$BO$186</definedName>
    <definedName name="________________________ME10">[5]ALAT!$BO$206</definedName>
    <definedName name="________________________ME11">[5]ALAT!$BO$226</definedName>
    <definedName name="________________________ME12">[5]ALAT!$BO$246</definedName>
    <definedName name="________________________ME13">[5]ALAT!$BO$266</definedName>
    <definedName name="________________________ME14">[5]ALAT!$BO$286</definedName>
    <definedName name="________________________ME15">[5]ALAT!$BO$306</definedName>
    <definedName name="________________________ME16">[5]ALAT!$BO$326</definedName>
    <definedName name="________________________ME17">[5]ALAT!$BO$346</definedName>
    <definedName name="________________________ME18">[5]ALAT!$BO$366</definedName>
    <definedName name="________________________ME19">[5]ALAT!$BO$386</definedName>
    <definedName name="________________________ME20">[5]ALAT!$BO$406</definedName>
    <definedName name="________________________ME21">[5]ALAT!$BO$426</definedName>
    <definedName name="________________________ME22">[5]ALAT!$BO$446</definedName>
    <definedName name="________________________ME23">[5]ALAT!$BO$466</definedName>
    <definedName name="________________________ME24">[5]ALAT!$BO$486</definedName>
    <definedName name="________________________ME25">[5]ALAT!$BO$506</definedName>
    <definedName name="________________________ME26">[5]ALAT!$BO$526</definedName>
    <definedName name="________________________ME27">[5]ALAT!$BO$546</definedName>
    <definedName name="________________________ME28">[5]ALAT!$BO$566</definedName>
    <definedName name="________________________ME29">[5]ALAT!$BO$586</definedName>
    <definedName name="________________________ME30">[5]ALAT!$BO$606</definedName>
    <definedName name="________________________ME31">[5]ALAT!$BO$626</definedName>
    <definedName name="________________________ME32">[5]ALAT!$BO$646</definedName>
    <definedName name="________________________ME33">[5]ALAT!$BO$666</definedName>
    <definedName name="________________________ME34">[5]ALAT!$BO$697</definedName>
    <definedName name="________________________ME35">'[6]Peralatan (2)'!$R$26</definedName>
    <definedName name="_______________________abb91">[7]chitimc!#REF!</definedName>
    <definedName name="_______________________CT250">'[7]dongia _2_'!#REF!</definedName>
    <definedName name="_______________________ddn400">#REF!</definedName>
    <definedName name="_______________________ddn600">#REF!</definedName>
    <definedName name="_______________________dgt100">'[7]dongia _2_'!#REF!</definedName>
    <definedName name="_______________________DIV1">'[8]Kuantitas &amp; Harga ruas II'!$G$20</definedName>
    <definedName name="_______________________DIV10">'[8]Kuantitas &amp; Harga ruas II'!#REF!</definedName>
    <definedName name="_______________________DIV11">'[4]daftar kuantitas'!#REF!</definedName>
    <definedName name="_______________________DIV2">'[8]Kuantitas &amp; Harga ruas II'!$G$27</definedName>
    <definedName name="_______________________DIV3">'[8]Kuantitas &amp; Harga ruas II'!$G$38</definedName>
    <definedName name="_______________________DIV4">'[8]Kuantitas &amp; Harga ruas II'!$G$51</definedName>
    <definedName name="_______________________DIV5">'[8]Kuantitas &amp; Harga ruas II'!$G$58</definedName>
    <definedName name="_______________________DIV6">'[8]Kuantitas &amp; Harga ruas II'!$G$67</definedName>
    <definedName name="_______________________DIV7">'[8]Kuantitas &amp; Harga ruas II'!$G$78</definedName>
    <definedName name="_______________________DIV8">'[8]Kuantitas &amp; Harga ruas II'!#REF!</definedName>
    <definedName name="_______________________DIV9">'[8]Kuantitas &amp; Harga ruas II'!#REF!</definedName>
    <definedName name="_______________________GID1">[7]LKVL_CK_HT_GD1!$A$4</definedName>
    <definedName name="_______________________HAL1">#REF!</definedName>
    <definedName name="_______________________HAL2">#REF!</definedName>
    <definedName name="_______________________HAL7">'[8]Kuantitas &amp; Harga ruas II'!#REF!</definedName>
    <definedName name="_______________________MDE01">[4]Peralatan!$BO$27</definedName>
    <definedName name="_______________________MDE02">[4]Peralatan!$BO$47</definedName>
    <definedName name="_______________________MDE03">[4]Peralatan!$BO$76</definedName>
    <definedName name="_______________________MDE04">[4]Peralatan!$BO$96</definedName>
    <definedName name="_______________________MDE05">[4]Peralatan!$BO$116</definedName>
    <definedName name="_______________________MDE06">[4]Peralatan!$BO$136</definedName>
    <definedName name="_______________________MDE07">[4]Peralatan!$BO$156</definedName>
    <definedName name="_______________________MDE08">[4]Peralatan!$BO$176</definedName>
    <definedName name="_______________________MDE09">[4]Peralatan!$BO$196</definedName>
    <definedName name="_______________________MDE10">[4]Peralatan!$BO$216</definedName>
    <definedName name="_______________________MDE11">[4]Peralatan!$BO$236</definedName>
    <definedName name="_______________________MDE12">[4]Peralatan!$BO$256</definedName>
    <definedName name="_______________________MDE13">[4]Peralatan!$BO$276</definedName>
    <definedName name="_______________________MDE14">[4]Peralatan!$BO$296</definedName>
    <definedName name="_______________________MDE15">[4]Peralatan!$BO$316</definedName>
    <definedName name="_______________________MDE16">[4]Peralatan!$BO$336</definedName>
    <definedName name="_______________________MDE17">[4]Peralatan!$BO$356</definedName>
    <definedName name="_______________________MDE18">[4]Peralatan!$BO$376</definedName>
    <definedName name="_______________________MDE19">[4]Peralatan!$BO$396</definedName>
    <definedName name="_______________________MDE20">[4]Peralatan!$BO$416</definedName>
    <definedName name="_______________________MDE21">[4]Peralatan!$BO$436</definedName>
    <definedName name="_______________________MDE22">[4]Peralatan!$BO$456</definedName>
    <definedName name="_______________________MDE23">[4]Peralatan!$BO$476</definedName>
    <definedName name="_______________________MDE24">[4]Peralatan!$BO$496</definedName>
    <definedName name="_______________________MDE25">[4]Peralatan!$BO$516</definedName>
    <definedName name="_______________________MDE26">[4]Peralatan!$BO$536</definedName>
    <definedName name="_______________________MDE27">[4]Peralatan!$BO$556</definedName>
    <definedName name="_______________________MDE28">[4]Peralatan!$BO$576</definedName>
    <definedName name="_______________________MDE29">[4]Peralatan!$BO$596</definedName>
    <definedName name="_______________________MDE30">[4]Peralatan!$BO$616</definedName>
    <definedName name="_______________________MDE31">[4]Peralatan!$BO$636</definedName>
    <definedName name="_______________________MDE32">[4]Peralatan!$BO$656</definedName>
    <definedName name="_______________________MDE33">[4]Peralatan!$BO$676</definedName>
    <definedName name="_______________________MDE34">[4]Peralatan!$BO$707</definedName>
    <definedName name="_______________________MDE35">'[9]Peralatan (2)'!$R$27</definedName>
    <definedName name="_______________________ME01">[4]Peralatan!$BO$26</definedName>
    <definedName name="_______________________ME02">[4]Peralatan!$BO$46</definedName>
    <definedName name="_______________________ME03">[4]Peralatan!$BO$75</definedName>
    <definedName name="_______________________ME04">[4]Peralatan!$BO$95</definedName>
    <definedName name="_______________________ME05">[4]Peralatan!$BO$115</definedName>
    <definedName name="_______________________ME06">[4]Peralatan!$BO$135</definedName>
    <definedName name="_______________________ME07">[4]Peralatan!$BO$155</definedName>
    <definedName name="_______________________ME08">[4]Peralatan!$BO$175</definedName>
    <definedName name="_______________________ME09">[4]Peralatan!$BO$195</definedName>
    <definedName name="_______________________ME10">[4]Peralatan!$BO$215</definedName>
    <definedName name="_______________________ME11">[4]Peralatan!$BO$235</definedName>
    <definedName name="_______________________ME12">[4]Peralatan!$BO$255</definedName>
    <definedName name="_______________________ME13">[4]Peralatan!$BO$275</definedName>
    <definedName name="_______________________ME14">[4]Peralatan!$BO$295</definedName>
    <definedName name="_______________________ME15">[4]Peralatan!$BO$315</definedName>
    <definedName name="_______________________ME16">[4]Peralatan!$BO$335</definedName>
    <definedName name="_______________________ME17">[4]Peralatan!$BO$355</definedName>
    <definedName name="_______________________ME18">[4]Peralatan!$BO$375</definedName>
    <definedName name="_______________________ME19">[4]Peralatan!$BO$395</definedName>
    <definedName name="_______________________ME20">[4]Peralatan!$BO$415</definedName>
    <definedName name="_______________________ME21">[4]Peralatan!$BO$435</definedName>
    <definedName name="_______________________ME22">[4]Peralatan!$BO$455</definedName>
    <definedName name="_______________________ME23">[4]Peralatan!$BO$475</definedName>
    <definedName name="_______________________ME24">[4]Peralatan!$BO$495</definedName>
    <definedName name="_______________________ME25">[4]Peralatan!$BO$515</definedName>
    <definedName name="_______________________ME26">[4]Peralatan!$BO$535</definedName>
    <definedName name="_______________________ME27">[4]Peralatan!$BO$555</definedName>
    <definedName name="_______________________ME28">[4]Peralatan!$BO$575</definedName>
    <definedName name="_______________________ME29">[4]Peralatan!$BO$595</definedName>
    <definedName name="_______________________ME30">[4]Peralatan!$BO$615</definedName>
    <definedName name="_______________________ME31">[4]Peralatan!$BO$635</definedName>
    <definedName name="_______________________ME32">[4]Peralatan!$BO$655</definedName>
    <definedName name="_______________________ME33">[4]Peralatan!$BO$675</definedName>
    <definedName name="_______________________ME34">[4]Peralatan!$BO$706</definedName>
    <definedName name="_______________________ME35">'[9]Peralatan (2)'!$R$26</definedName>
    <definedName name="_______________________NCL100">#REF!</definedName>
    <definedName name="_______________________NCL200">#REF!</definedName>
    <definedName name="_______________________NCL250">#REF!</definedName>
    <definedName name="_______________________nin190">#REF!</definedName>
    <definedName name="_______________________sc1">#REF!</definedName>
    <definedName name="_______________________SC2">#REF!</definedName>
    <definedName name="_______________________sc3">#REF!</definedName>
    <definedName name="_______________________SN3">#REF!</definedName>
    <definedName name="_______________________th100">'[10]dongia _2_'!#REF!</definedName>
    <definedName name="_______________________TH160">'[10]dongia _2_'!#REF!</definedName>
    <definedName name="_______________________TL1">#REF!</definedName>
    <definedName name="_______________________TL2">#REF!</definedName>
    <definedName name="_______________________TL3">#REF!</definedName>
    <definedName name="_______________________TLA120">#REF!</definedName>
    <definedName name="_______________________TLA35">#REF!</definedName>
    <definedName name="_______________________TLA50">#REF!</definedName>
    <definedName name="_______________________TLA70">#REF!</definedName>
    <definedName name="_______________________TLA95">#REF!</definedName>
    <definedName name="_______________________TR250">'[10]dongia _2_'!#REF!</definedName>
    <definedName name="_______________________tr375">[10]giathanh1!#REF!</definedName>
    <definedName name="_______________________VL100">#REF!</definedName>
    <definedName name="_______________________VL200">#REF!</definedName>
    <definedName name="_______________________VL250">#REF!</definedName>
    <definedName name="______________________abb91">[7]chitimc!#REF!</definedName>
    <definedName name="______________________CT250">'[7]dongia _2_'!#REF!</definedName>
    <definedName name="______________________ddn400">#REF!</definedName>
    <definedName name="______________________ddn600">#REF!</definedName>
    <definedName name="______________________dgt100">'[7]dongia _2_'!#REF!</definedName>
    <definedName name="______________________DIV1">'[4]daftar kuantitas'!$G$20</definedName>
    <definedName name="______________________DIV10">'[4]daftar kuantitas'!#REF!</definedName>
    <definedName name="______________________DIV11">'[4]daftar kuantitas'!#REF!</definedName>
    <definedName name="______________________DIV2">'[4]daftar kuantitas'!$G$28</definedName>
    <definedName name="______________________DIV3">'[4]daftar kuantitas'!$G$35</definedName>
    <definedName name="______________________DIV4">'[4]daftar kuantitas'!$G$48</definedName>
    <definedName name="______________________DIV5">'[4]daftar kuantitas'!$G$55</definedName>
    <definedName name="______________________DIV7">'[4]daftar kuantitas'!$G$73</definedName>
    <definedName name="______________________DIV8">'[4]daftar kuantitas'!#REF!</definedName>
    <definedName name="______________________DIV9">'[4]daftar kuantitas'!#REF!</definedName>
    <definedName name="______________________GID1">[7]LKVL_CK_HT_GD1!$A$4</definedName>
    <definedName name="______________________HAL1">#REF!</definedName>
    <definedName name="______________________HAL2">#REF!</definedName>
    <definedName name="______________________HAL7">'[4]daftar kuantitas'!#REF!</definedName>
    <definedName name="______________________MAC12">#REF!</definedName>
    <definedName name="______________________MAC46">#REF!</definedName>
    <definedName name="______________________MDE01">[11]ALAT!$BO$27</definedName>
    <definedName name="______________________MDE02">[11]ALAT!$BO$47</definedName>
    <definedName name="______________________MDE03">[11]ALAT!$BO$67</definedName>
    <definedName name="______________________MDE04">[11]ALAT!$BO$87</definedName>
    <definedName name="______________________MDE05">[11]ALAT!$BO$107</definedName>
    <definedName name="______________________MDE06">[11]ALAT!$BO$127</definedName>
    <definedName name="______________________MDE07">[11]ALAT!$BO$147</definedName>
    <definedName name="______________________MDE08">[11]ALAT!$BO$167</definedName>
    <definedName name="______________________MDE09">[11]ALAT!$BO$187</definedName>
    <definedName name="______________________MDE10">[11]ALAT!$BO$207</definedName>
    <definedName name="______________________MDE11">[11]ALAT!$BO$227</definedName>
    <definedName name="______________________MDE12">[11]ALAT!$BO$247</definedName>
    <definedName name="______________________MDE13">[11]ALAT!$BO$267</definedName>
    <definedName name="______________________MDE14">[11]ALAT!$BO$287</definedName>
    <definedName name="______________________MDE15">[11]ALAT!$BO$307</definedName>
    <definedName name="______________________MDE16">[11]ALAT!$BO$327</definedName>
    <definedName name="______________________MDE17">[11]ALAT!$BO$347</definedName>
    <definedName name="______________________MDE18">[11]ALAT!$BO$367</definedName>
    <definedName name="______________________MDE19">[11]ALAT!$BO$387</definedName>
    <definedName name="______________________MDE20">[11]ALAT!$BO$407</definedName>
    <definedName name="______________________MDE21">[11]ALAT!$BO$427</definedName>
    <definedName name="______________________MDE22">[11]ALAT!$BO$447</definedName>
    <definedName name="______________________MDE23">[11]ALAT!$BO$467</definedName>
    <definedName name="______________________MDE24">[11]ALAT!$BO$487</definedName>
    <definedName name="______________________MDE25">[11]ALAT!$BO$507</definedName>
    <definedName name="______________________MDE26">[11]ALAT!$BO$527</definedName>
    <definedName name="______________________MDE27">[11]ALAT!$BO$547</definedName>
    <definedName name="______________________MDE28">[11]ALAT!$BO$567</definedName>
    <definedName name="______________________MDE29">[11]ALAT!$BO$587</definedName>
    <definedName name="______________________MDE30">[11]ALAT!$BO$607</definedName>
    <definedName name="______________________MDE31">[11]ALAT!$BO$627</definedName>
    <definedName name="______________________MDE32">[11]ALAT!$BO$647</definedName>
    <definedName name="______________________MDE33">[11]ALAT!$BO$667</definedName>
    <definedName name="______________________MDE34">[11]ALAT!$BO$698</definedName>
    <definedName name="______________________MDE35">'[6]Peralatan (2)'!$R$27</definedName>
    <definedName name="______________________ME01">[11]ALAT!$BO$26</definedName>
    <definedName name="______________________ME02">[11]ALAT!$BO$46</definedName>
    <definedName name="______________________ME03">[11]ALAT!$BO$66</definedName>
    <definedName name="______________________ME04">[11]ALAT!$BO$86</definedName>
    <definedName name="______________________ME05">[11]ALAT!$BO$106</definedName>
    <definedName name="______________________ME06">[11]ALAT!$BO$126</definedName>
    <definedName name="______________________ME07">[11]ALAT!$BO$146</definedName>
    <definedName name="______________________ME08">[11]ALAT!$BO$166</definedName>
    <definedName name="______________________ME09">[11]ALAT!$BO$186</definedName>
    <definedName name="______________________ME10">[11]ALAT!$BO$206</definedName>
    <definedName name="______________________ME11">[11]ALAT!$BO$226</definedName>
    <definedName name="______________________ME12">[11]ALAT!$BO$246</definedName>
    <definedName name="______________________ME13">[11]ALAT!$BO$266</definedName>
    <definedName name="______________________ME14">[11]ALAT!$BO$286</definedName>
    <definedName name="______________________ME15">[11]ALAT!$BO$306</definedName>
    <definedName name="______________________ME16">[11]ALAT!$BO$326</definedName>
    <definedName name="______________________ME17">[11]ALAT!$BO$346</definedName>
    <definedName name="______________________ME18">[11]ALAT!$BO$366</definedName>
    <definedName name="______________________ME19">[11]ALAT!$BO$386</definedName>
    <definedName name="______________________ME20">[11]ALAT!$BO$406</definedName>
    <definedName name="______________________ME21">[11]ALAT!$BO$426</definedName>
    <definedName name="______________________ME22">[11]ALAT!$BO$446</definedName>
    <definedName name="______________________ME23">[11]ALAT!$BO$466</definedName>
    <definedName name="______________________ME24">[11]ALAT!$BO$486</definedName>
    <definedName name="______________________ME25">[11]ALAT!$BO$506</definedName>
    <definedName name="______________________ME26">[11]ALAT!$BO$526</definedName>
    <definedName name="______________________ME27">[11]ALAT!$BO$546</definedName>
    <definedName name="______________________ME28">[11]ALAT!$BO$566</definedName>
    <definedName name="______________________ME29">[11]ALAT!$BO$586</definedName>
    <definedName name="______________________ME30">[11]ALAT!$BO$606</definedName>
    <definedName name="______________________ME31">[11]ALAT!$BO$626</definedName>
    <definedName name="______________________ME32">[11]ALAT!$BO$646</definedName>
    <definedName name="______________________ME33">[11]ALAT!$BO$666</definedName>
    <definedName name="______________________ME34">[11]ALAT!$BO$697</definedName>
    <definedName name="______________________ME35">'[6]Peralatan (2)'!$R$26</definedName>
    <definedName name="______________________NCL100">#REF!</definedName>
    <definedName name="______________________NCL200">#REF!</definedName>
    <definedName name="______________________NCL250">#REF!</definedName>
    <definedName name="______________________nin190">#REF!</definedName>
    <definedName name="______________________sc1">#REF!</definedName>
    <definedName name="______________________SC2">#REF!</definedName>
    <definedName name="______________________sc3">#REF!</definedName>
    <definedName name="______________________SN3">#REF!</definedName>
    <definedName name="______________________th100">'[10]dongia _2_'!#REF!</definedName>
    <definedName name="______________________TH160">'[10]dongia _2_'!#REF!</definedName>
    <definedName name="______________________TL1">#REF!</definedName>
    <definedName name="______________________TL2">#REF!</definedName>
    <definedName name="______________________TL3">#REF!</definedName>
    <definedName name="______________________TLA120">#REF!</definedName>
    <definedName name="______________________TLA35">#REF!</definedName>
    <definedName name="______________________TLA50">#REF!</definedName>
    <definedName name="______________________TLA70">#REF!</definedName>
    <definedName name="______________________TLA95">#REF!</definedName>
    <definedName name="______________________TR250">'[10]dongia _2_'!#REF!</definedName>
    <definedName name="______________________tr375">[10]giathanh1!#REF!</definedName>
    <definedName name="______________________VL100">#REF!</definedName>
    <definedName name="______________________VL200">#REF!</definedName>
    <definedName name="______________________VL250">#REF!</definedName>
    <definedName name="_____________________abb91">[7]chitimc!#REF!</definedName>
    <definedName name="_____________________CT250">'[7]dongia _2_'!#REF!</definedName>
    <definedName name="_____________________ddn400">#REF!</definedName>
    <definedName name="_____________________ddn600">#REF!</definedName>
    <definedName name="_____________________dgt100">'[7]dongia _2_'!#REF!</definedName>
    <definedName name="_____________________DIV10">'[4]daftar kuantitas'!#REF!</definedName>
    <definedName name="_____________________DIV11">'[4]daftar kuantitas'!#REF!</definedName>
    <definedName name="_____________________DIV8">'[4]daftar kuantitas'!#REF!</definedName>
    <definedName name="_____________________DIV9">'[4]daftar kuantitas'!#REF!</definedName>
    <definedName name="_____________________GID1">[7]LKVL_CK_HT_GD1!$A$4</definedName>
    <definedName name="_____________________HAL1">#REF!</definedName>
    <definedName name="_____________________HAL2">#REF!</definedName>
    <definedName name="_____________________HAL7">'[4]daftar kuantitas'!#REF!</definedName>
    <definedName name="_____________________MAC12">#REF!</definedName>
    <definedName name="_____________________MAC46">#REF!</definedName>
    <definedName name="_____________________MDE01">[12]ALAT!$BO$27</definedName>
    <definedName name="_____________________MDE02">[12]ALAT!$BO$47</definedName>
    <definedName name="_____________________MDE03">[12]ALAT!$BO$67</definedName>
    <definedName name="_____________________MDE04">[12]ALAT!$BO$87</definedName>
    <definedName name="_____________________MDE05">[12]ALAT!$BO$107</definedName>
    <definedName name="_____________________MDE06">[12]ALAT!$BO$127</definedName>
    <definedName name="_____________________MDE07">[12]ALAT!$BO$147</definedName>
    <definedName name="_____________________MDE08">[12]ALAT!$BO$167</definedName>
    <definedName name="_____________________MDE09">[12]ALAT!$BO$187</definedName>
    <definedName name="_____________________MDE10">[12]ALAT!$BO$207</definedName>
    <definedName name="_____________________MDE11">[12]ALAT!$BO$227</definedName>
    <definedName name="_____________________MDE12">[12]ALAT!$BO$247</definedName>
    <definedName name="_____________________MDE13">[12]ALAT!$BO$267</definedName>
    <definedName name="_____________________MDE14">[12]ALAT!$BO$287</definedName>
    <definedName name="_____________________MDE15">[12]ALAT!$BO$307</definedName>
    <definedName name="_____________________MDE16">[12]ALAT!$BO$327</definedName>
    <definedName name="_____________________MDE17">[12]ALAT!$BO$347</definedName>
    <definedName name="_____________________MDE18">[12]ALAT!$BO$367</definedName>
    <definedName name="_____________________MDE19">[12]ALAT!$BO$387</definedName>
    <definedName name="_____________________MDE20">[12]ALAT!$BO$407</definedName>
    <definedName name="_____________________MDE21">[12]ALAT!$BO$427</definedName>
    <definedName name="_____________________MDE22">[12]ALAT!$BO$447</definedName>
    <definedName name="_____________________MDE23">[12]ALAT!$BO$467</definedName>
    <definedName name="_____________________MDE24">[12]ALAT!$BO$487</definedName>
    <definedName name="_____________________MDE25">[12]ALAT!$BO$507</definedName>
    <definedName name="_____________________MDE26">[12]ALAT!$BO$527</definedName>
    <definedName name="_____________________MDE27">[12]ALAT!$BO$547</definedName>
    <definedName name="_____________________MDE28">[12]ALAT!$BO$567</definedName>
    <definedName name="_____________________MDE29">[12]ALAT!$BO$587</definedName>
    <definedName name="_____________________MDE30">[12]ALAT!$BO$607</definedName>
    <definedName name="_____________________MDE31">[12]ALAT!$BO$627</definedName>
    <definedName name="_____________________MDE32">[12]ALAT!$BO$647</definedName>
    <definedName name="_____________________MDE33">[12]ALAT!$BO$667</definedName>
    <definedName name="_____________________MDE34">[12]ALAT!$BO$698</definedName>
    <definedName name="_____________________MDE35">'[6]Peralatan (2)'!$R$27</definedName>
    <definedName name="_____________________ME01">[12]ALAT!$BO$26</definedName>
    <definedName name="_____________________ME02">[12]ALAT!$BO$46</definedName>
    <definedName name="_____________________ME03">[12]ALAT!$BO$66</definedName>
    <definedName name="_____________________ME04">[12]ALAT!$BO$86</definedName>
    <definedName name="_____________________ME05">[12]ALAT!$BO$106</definedName>
    <definedName name="_____________________ME06">[12]ALAT!$BO$126</definedName>
    <definedName name="_____________________ME07">[12]ALAT!$BO$146</definedName>
    <definedName name="_____________________ME08">[12]ALAT!$BO$166</definedName>
    <definedName name="_____________________ME09">[12]ALAT!$BO$186</definedName>
    <definedName name="_____________________ME10">[12]ALAT!$BO$206</definedName>
    <definedName name="_____________________ME11">[12]ALAT!$BO$226</definedName>
    <definedName name="_____________________ME12">[12]ALAT!$BO$246</definedName>
    <definedName name="_____________________ME13">[12]ALAT!$BO$266</definedName>
    <definedName name="_____________________ME14">[12]ALAT!$BO$286</definedName>
    <definedName name="_____________________ME15">[12]ALAT!$BO$306</definedName>
    <definedName name="_____________________ME16">[12]ALAT!$BO$326</definedName>
    <definedName name="_____________________ME17">[12]ALAT!$BO$346</definedName>
    <definedName name="_____________________ME18">[12]ALAT!$BO$366</definedName>
    <definedName name="_____________________ME19">[12]ALAT!$BO$386</definedName>
    <definedName name="_____________________ME20">[12]ALAT!$BO$406</definedName>
    <definedName name="_____________________ME21">[12]ALAT!$BO$426</definedName>
    <definedName name="_____________________ME22">[12]ALAT!$BO$446</definedName>
    <definedName name="_____________________ME23">[12]ALAT!$BO$466</definedName>
    <definedName name="_____________________ME24">[12]ALAT!$BO$486</definedName>
    <definedName name="_____________________ME25">[12]ALAT!$BO$506</definedName>
    <definedName name="_____________________ME26">[12]ALAT!$BO$526</definedName>
    <definedName name="_____________________ME27">[12]ALAT!$BO$546</definedName>
    <definedName name="_____________________ME28">[12]ALAT!$BO$566</definedName>
    <definedName name="_____________________ME29">[12]ALAT!$BO$586</definedName>
    <definedName name="_____________________ME30">[12]ALAT!$BO$606</definedName>
    <definedName name="_____________________ME31">[12]ALAT!$BO$626</definedName>
    <definedName name="_____________________ME32">[12]ALAT!$BO$646</definedName>
    <definedName name="_____________________ME33">[12]ALAT!$BO$666</definedName>
    <definedName name="_____________________ME34">[12]ALAT!$BO$697</definedName>
    <definedName name="_____________________ME35">'[6]Peralatan (2)'!$R$26</definedName>
    <definedName name="_____________________NCL100">#REF!</definedName>
    <definedName name="_____________________NCL200">#REF!</definedName>
    <definedName name="_____________________NCL250">#REF!</definedName>
    <definedName name="_____________________nin190">#REF!</definedName>
    <definedName name="_____________________sc1">#REF!</definedName>
    <definedName name="_____________________SC2">#REF!</definedName>
    <definedName name="_____________________sc3">#REF!</definedName>
    <definedName name="_____________________SN3">#REF!</definedName>
    <definedName name="_____________________th100">'[10]dongia _2_'!#REF!</definedName>
    <definedName name="_____________________TH160">'[10]dongia _2_'!#REF!</definedName>
    <definedName name="_____________________TL1">#REF!</definedName>
    <definedName name="_____________________TL2">#REF!</definedName>
    <definedName name="_____________________TL3">#REF!</definedName>
    <definedName name="_____________________TLA120">#REF!</definedName>
    <definedName name="_____________________TLA35">#REF!</definedName>
    <definedName name="_____________________TLA50">#REF!</definedName>
    <definedName name="_____________________TLA70">#REF!</definedName>
    <definedName name="_____________________TLA95">#REF!</definedName>
    <definedName name="_____________________TR250">'[10]dongia _2_'!#REF!</definedName>
    <definedName name="_____________________tr375">[10]giathanh1!#REF!</definedName>
    <definedName name="_____________________VL100">#REF!</definedName>
    <definedName name="_____________________VL200">#REF!</definedName>
    <definedName name="_____________________VL250">#REF!</definedName>
    <definedName name="____________________abb91">[7]chitimc!#REF!</definedName>
    <definedName name="____________________CT250">'[7]dongia _2_'!#REF!</definedName>
    <definedName name="____________________ddn400">#REF!</definedName>
    <definedName name="____________________ddn600">#REF!</definedName>
    <definedName name="____________________dgt100">'[7]dongia _2_'!#REF!</definedName>
    <definedName name="____________________DIV10">'[4]daftar kuantitas'!#REF!</definedName>
    <definedName name="____________________DIV11">'[13]Kwt&amp;hrg'!#REF!</definedName>
    <definedName name="____________________DIV8">'[4]daftar kuantitas'!#REF!</definedName>
    <definedName name="____________________DIV9">'[4]daftar kuantitas'!#REF!</definedName>
    <definedName name="____________________GID1">[7]LKVL_CK_HT_GD1!$A$4</definedName>
    <definedName name="____________________HAL1">'[3]Kuantitas &amp; Harga'!$A$1:$H$39</definedName>
    <definedName name="____________________HAL2">'[3]Kuantitas &amp; Harga'!$A$40:$H$59</definedName>
    <definedName name="____________________HAL3">'[3]Kuantitas &amp; Harga'!$A$60:$H$68</definedName>
    <definedName name="____________________HAL4">'[3]Kuantitas &amp; Harga'!$A$69:$H$80</definedName>
    <definedName name="____________________HAL5">'[3]Kuantitas &amp; Harga'!$A$81:$H$83</definedName>
    <definedName name="____________________HAL6">'[3]Kuantitas &amp; Harga'!$A$83:$H$86</definedName>
    <definedName name="____________________HAL7">'[4]daftar kuantitas'!#REF!</definedName>
    <definedName name="____________________HAL8">'[3]Kuantitas &amp; Harga'!$A$87:$H$87</definedName>
    <definedName name="____________________MAC12">#REF!</definedName>
    <definedName name="____________________MAC46">#REF!</definedName>
    <definedName name="____________________MDE01">[12]ALAT!$BO$27</definedName>
    <definedName name="____________________MDE02">[12]ALAT!$BO$47</definedName>
    <definedName name="____________________MDE03">[12]ALAT!$BO$67</definedName>
    <definedName name="____________________MDE04">[12]ALAT!$BO$87</definedName>
    <definedName name="____________________MDE05">[12]ALAT!$BO$107</definedName>
    <definedName name="____________________MDE06">[12]ALAT!$BO$127</definedName>
    <definedName name="____________________MDE07">[12]ALAT!$BO$147</definedName>
    <definedName name="____________________MDE08">[12]ALAT!$BO$167</definedName>
    <definedName name="____________________MDE09">[12]ALAT!$BO$187</definedName>
    <definedName name="____________________MDE10">[12]ALAT!$BO$207</definedName>
    <definedName name="____________________MDE11">[12]ALAT!$BO$227</definedName>
    <definedName name="____________________MDE12">[12]ALAT!$BO$247</definedName>
    <definedName name="____________________MDE13">[12]ALAT!$BO$267</definedName>
    <definedName name="____________________MDE14">[12]ALAT!$BO$287</definedName>
    <definedName name="____________________MDE15">[12]ALAT!$BO$307</definedName>
    <definedName name="____________________MDE16">[12]ALAT!$BO$327</definedName>
    <definedName name="____________________MDE17">[12]ALAT!$BO$347</definedName>
    <definedName name="____________________MDE18">[12]ALAT!$BO$367</definedName>
    <definedName name="____________________MDE19">[12]ALAT!$BO$387</definedName>
    <definedName name="____________________MDE20">[12]ALAT!$BO$407</definedName>
    <definedName name="____________________MDE21">[12]ALAT!$BO$427</definedName>
    <definedName name="____________________MDE22">[12]ALAT!$BO$447</definedName>
    <definedName name="____________________MDE23">[12]ALAT!$BO$467</definedName>
    <definedName name="____________________MDE24">[12]ALAT!$BO$487</definedName>
    <definedName name="____________________MDE25">[12]ALAT!$BO$507</definedName>
    <definedName name="____________________MDE26">[12]ALAT!$BO$527</definedName>
    <definedName name="____________________MDE27">[12]ALAT!$BO$547</definedName>
    <definedName name="____________________MDE28">[12]ALAT!$BO$567</definedName>
    <definedName name="____________________MDE29">[12]ALAT!$BO$587</definedName>
    <definedName name="____________________MDE30">[12]ALAT!$BO$607</definedName>
    <definedName name="____________________MDE31">[12]ALAT!$BO$627</definedName>
    <definedName name="____________________MDE32">[12]ALAT!$BO$647</definedName>
    <definedName name="____________________MDE33">[12]ALAT!$BO$667</definedName>
    <definedName name="____________________MDE34">[12]ALAT!$BO$698</definedName>
    <definedName name="____________________MDE35">'[6]Peralatan (2)'!$R$27</definedName>
    <definedName name="____________________ME01">[12]ALAT!$BO$26</definedName>
    <definedName name="____________________ME02">[12]ALAT!$BO$46</definedName>
    <definedName name="____________________ME03">[12]ALAT!$BO$66</definedName>
    <definedName name="____________________ME04">[12]ALAT!$BO$86</definedName>
    <definedName name="____________________ME05">[12]ALAT!$BO$106</definedName>
    <definedName name="____________________ME06">[12]ALAT!$BO$126</definedName>
    <definedName name="____________________ME07">[12]ALAT!$BO$146</definedName>
    <definedName name="____________________ME08">[12]ALAT!$BO$166</definedName>
    <definedName name="____________________ME09">[12]ALAT!$BO$186</definedName>
    <definedName name="____________________ME10">[12]ALAT!$BO$206</definedName>
    <definedName name="____________________ME11">[12]ALAT!$BO$226</definedName>
    <definedName name="____________________ME12">[12]ALAT!$BO$246</definedName>
    <definedName name="____________________ME13">[12]ALAT!$BO$266</definedName>
    <definedName name="____________________ME14">[12]ALAT!$BO$286</definedName>
    <definedName name="____________________ME15">[12]ALAT!$BO$306</definedName>
    <definedName name="____________________ME16">[12]ALAT!$BO$326</definedName>
    <definedName name="____________________ME17">[12]ALAT!$BO$346</definedName>
    <definedName name="____________________ME18">[12]ALAT!$BO$366</definedName>
    <definedName name="____________________ME19">[12]ALAT!$BO$386</definedName>
    <definedName name="____________________ME20">[12]ALAT!$BO$406</definedName>
    <definedName name="____________________ME21">[12]ALAT!$BO$426</definedName>
    <definedName name="____________________ME22">[12]ALAT!$BO$446</definedName>
    <definedName name="____________________ME23">[12]ALAT!$BO$466</definedName>
    <definedName name="____________________ME24">[12]ALAT!$BO$486</definedName>
    <definedName name="____________________ME25">[12]ALAT!$BO$506</definedName>
    <definedName name="____________________ME26">[12]ALAT!$BO$526</definedName>
    <definedName name="____________________ME27">[12]ALAT!$BO$546</definedName>
    <definedName name="____________________ME28">[12]ALAT!$BO$566</definedName>
    <definedName name="____________________ME29">[12]ALAT!$BO$586</definedName>
    <definedName name="____________________ME30">[12]ALAT!$BO$606</definedName>
    <definedName name="____________________ME31">[12]ALAT!$BO$626</definedName>
    <definedName name="____________________ME32">[12]ALAT!$BO$646</definedName>
    <definedName name="____________________ME33">[12]ALAT!$BO$666</definedName>
    <definedName name="____________________ME34">[12]ALAT!$BO$697</definedName>
    <definedName name="____________________ME35">'[6]Peralatan (2)'!$R$26</definedName>
    <definedName name="____________________NCL100">#REF!</definedName>
    <definedName name="____________________NCL200">#REF!</definedName>
    <definedName name="____________________NCL250">#REF!</definedName>
    <definedName name="____________________nin190">#REF!</definedName>
    <definedName name="____________________sc1">#REF!</definedName>
    <definedName name="____________________SC2">#REF!</definedName>
    <definedName name="____________________sc3">#REF!</definedName>
    <definedName name="____________________SN3">#REF!</definedName>
    <definedName name="____________________th100">'[10]dongia _2_'!#REF!</definedName>
    <definedName name="____________________TH160">'[10]dongia _2_'!#REF!</definedName>
    <definedName name="____________________TL1">#REF!</definedName>
    <definedName name="____________________TL2">#REF!</definedName>
    <definedName name="____________________TL3">#REF!</definedName>
    <definedName name="____________________TLA120">#REF!</definedName>
    <definedName name="____________________TLA35">#REF!</definedName>
    <definedName name="____________________TLA50">#REF!</definedName>
    <definedName name="____________________TLA70">#REF!</definedName>
    <definedName name="____________________TLA95">#REF!</definedName>
    <definedName name="____________________TR250">'[10]dongia _2_'!#REF!</definedName>
    <definedName name="____________________tr375">[10]giathanh1!#REF!</definedName>
    <definedName name="____________________VL100">#REF!</definedName>
    <definedName name="____________________VL200">#REF!</definedName>
    <definedName name="____________________VL250">#REF!</definedName>
    <definedName name="___________________abb91">[7]chitimc!#REF!</definedName>
    <definedName name="___________________CT250">'[7]dongia _2_'!#REF!</definedName>
    <definedName name="___________________ddn400">#REF!</definedName>
    <definedName name="___________________ddn600">#REF!</definedName>
    <definedName name="___________________dgt100">'[7]dongia _2_'!#REF!</definedName>
    <definedName name="___________________DIV10">'[4]daftar kuantitas'!#REF!</definedName>
    <definedName name="___________________DIV11">'[4]daftar kuantitas'!#REF!</definedName>
    <definedName name="___________________DIV8">'[4]daftar kuantitas'!#REF!</definedName>
    <definedName name="___________________DIV9">'[4]daftar kuantitas'!#REF!</definedName>
    <definedName name="___________________GID1">[7]LKVL_CK_HT_GD1!$A$4</definedName>
    <definedName name="___________________HAL7">'[4]daftar kuantitas'!#REF!</definedName>
    <definedName name="___________________MAC12">#REF!</definedName>
    <definedName name="___________________MAC46">#REF!</definedName>
    <definedName name="___________________MDE01">[12]ALAT!$BO$27</definedName>
    <definedName name="___________________MDE02">[12]ALAT!$BO$47</definedName>
    <definedName name="___________________MDE03">[12]ALAT!$BO$67</definedName>
    <definedName name="___________________MDE04">[12]ALAT!$BO$87</definedName>
    <definedName name="___________________MDE05">[12]ALAT!$BO$107</definedName>
    <definedName name="___________________MDE06">[12]ALAT!$BO$127</definedName>
    <definedName name="___________________MDE07">[12]ALAT!$BO$147</definedName>
    <definedName name="___________________MDE08">[12]ALAT!$BO$167</definedName>
    <definedName name="___________________MDE09">[12]ALAT!$BO$187</definedName>
    <definedName name="___________________MDE10">[12]ALAT!$BO$207</definedName>
    <definedName name="___________________MDE11">[12]ALAT!$BO$227</definedName>
    <definedName name="___________________MDE12">[12]ALAT!$BO$247</definedName>
    <definedName name="___________________MDE13">[12]ALAT!$BO$267</definedName>
    <definedName name="___________________MDE14">[12]ALAT!$BO$287</definedName>
    <definedName name="___________________MDE15">[12]ALAT!$BO$307</definedName>
    <definedName name="___________________MDE16">[12]ALAT!$BO$327</definedName>
    <definedName name="___________________MDE17">[12]ALAT!$BO$347</definedName>
    <definedName name="___________________MDE18">[12]ALAT!$BO$367</definedName>
    <definedName name="___________________MDE19">[12]ALAT!$BO$387</definedName>
    <definedName name="___________________MDE20">[12]ALAT!$BO$407</definedName>
    <definedName name="___________________MDE21">[12]ALAT!$BO$427</definedName>
    <definedName name="___________________MDE22">[12]ALAT!$BO$447</definedName>
    <definedName name="___________________MDE23">[12]ALAT!$BO$467</definedName>
    <definedName name="___________________MDE24">[12]ALAT!$BO$487</definedName>
    <definedName name="___________________MDE25">[12]ALAT!$BO$507</definedName>
    <definedName name="___________________MDE26">[12]ALAT!$BO$527</definedName>
    <definedName name="___________________MDE27">[12]ALAT!$BO$547</definedName>
    <definedName name="___________________MDE28">[12]ALAT!$BO$567</definedName>
    <definedName name="___________________MDE29">[12]ALAT!$BO$587</definedName>
    <definedName name="___________________MDE30">[12]ALAT!$BO$607</definedName>
    <definedName name="___________________MDE31">[12]ALAT!$BO$627</definedName>
    <definedName name="___________________MDE32">[12]ALAT!$BO$647</definedName>
    <definedName name="___________________MDE33">[12]ALAT!$BO$667</definedName>
    <definedName name="___________________MDE34">[12]ALAT!$BO$698</definedName>
    <definedName name="___________________MDE35">'[6]Peralatan (2)'!$R$27</definedName>
    <definedName name="___________________ME01">[12]ALAT!$BO$26</definedName>
    <definedName name="___________________ME02">[12]ALAT!$BO$46</definedName>
    <definedName name="___________________ME03">[12]ALAT!$BO$66</definedName>
    <definedName name="___________________ME04">[12]ALAT!$BO$86</definedName>
    <definedName name="___________________ME05">[12]ALAT!$BO$106</definedName>
    <definedName name="___________________ME06">[12]ALAT!$BO$126</definedName>
    <definedName name="___________________ME07">[12]ALAT!$BO$146</definedName>
    <definedName name="___________________ME08">[12]ALAT!$BO$166</definedName>
    <definedName name="___________________ME09">[12]ALAT!$BO$186</definedName>
    <definedName name="___________________ME10">[12]ALAT!$BO$206</definedName>
    <definedName name="___________________ME11">[12]ALAT!$BO$226</definedName>
    <definedName name="___________________ME12">[12]ALAT!$BO$246</definedName>
    <definedName name="___________________ME13">[12]ALAT!$BO$266</definedName>
    <definedName name="___________________ME14">[12]ALAT!$BO$286</definedName>
    <definedName name="___________________ME15">[12]ALAT!$BO$306</definedName>
    <definedName name="___________________ME16">[12]ALAT!$BO$326</definedName>
    <definedName name="___________________ME17">[12]ALAT!$BO$346</definedName>
    <definedName name="___________________ME18">[12]ALAT!$BO$366</definedName>
    <definedName name="___________________ME19">[12]ALAT!$BO$386</definedName>
    <definedName name="___________________ME20">[12]ALAT!$BO$406</definedName>
    <definedName name="___________________ME21">[12]ALAT!$BO$426</definedName>
    <definedName name="___________________ME22">[12]ALAT!$BO$446</definedName>
    <definedName name="___________________ME23">[12]ALAT!$BO$466</definedName>
    <definedName name="___________________ME24">[12]ALAT!$BO$486</definedName>
    <definedName name="___________________ME25">[12]ALAT!$BO$506</definedName>
    <definedName name="___________________ME26">[12]ALAT!$BO$526</definedName>
    <definedName name="___________________ME27">[12]ALAT!$BO$546</definedName>
    <definedName name="___________________ME28">[12]ALAT!$BO$566</definedName>
    <definedName name="___________________ME29">[12]ALAT!$BO$586</definedName>
    <definedName name="___________________ME30">[12]ALAT!$BO$606</definedName>
    <definedName name="___________________ME31">[12]ALAT!$BO$626</definedName>
    <definedName name="___________________ME32">[12]ALAT!$BO$646</definedName>
    <definedName name="___________________ME33">[12]ALAT!$BO$666</definedName>
    <definedName name="___________________ME34">[12]ALAT!$BO$697</definedName>
    <definedName name="___________________ME35">'[6]Peralatan (2)'!$R$26</definedName>
    <definedName name="___________________NCL100">#REF!</definedName>
    <definedName name="___________________NCL200">#REF!</definedName>
    <definedName name="___________________NCL250">#REF!</definedName>
    <definedName name="___________________nin190">#REF!</definedName>
    <definedName name="___________________sc1">#REF!</definedName>
    <definedName name="___________________SC2">#REF!</definedName>
    <definedName name="___________________sc3">#REF!</definedName>
    <definedName name="___________________SN3">#REF!</definedName>
    <definedName name="___________________th100">'[10]dongia _2_'!#REF!</definedName>
    <definedName name="___________________TH160">'[10]dongia _2_'!#REF!</definedName>
    <definedName name="___________________TL1">#REF!</definedName>
    <definedName name="___________________TL2">#REF!</definedName>
    <definedName name="___________________TL3">#REF!</definedName>
    <definedName name="___________________TLA120">#REF!</definedName>
    <definedName name="___________________TLA35">#REF!</definedName>
    <definedName name="___________________TLA50">#REF!</definedName>
    <definedName name="___________________TLA70">#REF!</definedName>
    <definedName name="___________________TLA95">#REF!</definedName>
    <definedName name="___________________TR250">'[10]dongia _2_'!#REF!</definedName>
    <definedName name="___________________tr375">[10]giathanh1!#REF!</definedName>
    <definedName name="___________________VL100">#REF!</definedName>
    <definedName name="___________________VL200">#REF!</definedName>
    <definedName name="___________________VL250">#REF!</definedName>
    <definedName name="__________________abb91">[7]chitimc!#REF!</definedName>
    <definedName name="__________________CT250">'[7]dongia _2_'!#REF!</definedName>
    <definedName name="__________________ddn400">#REF!</definedName>
    <definedName name="__________________ddn600">#REF!</definedName>
    <definedName name="__________________dgt100">'[7]dongia _2_'!#REF!</definedName>
    <definedName name="__________________DIV10">'[4]daftar kuantitas'!#REF!</definedName>
    <definedName name="__________________DIV11">'[4]daftar kuantitas'!#REF!</definedName>
    <definedName name="__________________DIV8">'[4]daftar kuantitas'!#REF!</definedName>
    <definedName name="__________________DIV9">'[4]daftar kuantitas'!#REF!</definedName>
    <definedName name="__________________GID1">[7]LKVL_CK_HT_GD1!$A$4</definedName>
    <definedName name="__________________HAL7">'[4]daftar kuantitas'!#REF!</definedName>
    <definedName name="__________________MAC12">#REF!</definedName>
    <definedName name="__________________MAC46">#REF!</definedName>
    <definedName name="__________________MDE01">[12]ALAT!$BO$27</definedName>
    <definedName name="__________________MDE02">[12]ALAT!$BO$47</definedName>
    <definedName name="__________________MDE03">[12]ALAT!$BO$67</definedName>
    <definedName name="__________________MDE04">[12]ALAT!$BO$87</definedName>
    <definedName name="__________________MDE05">[12]ALAT!$BO$107</definedName>
    <definedName name="__________________MDE06">[12]ALAT!$BO$127</definedName>
    <definedName name="__________________MDE07">[12]ALAT!$BO$147</definedName>
    <definedName name="__________________MDE08">[12]ALAT!$BO$167</definedName>
    <definedName name="__________________MDE09">[12]ALAT!$BO$187</definedName>
    <definedName name="__________________MDE10">[12]ALAT!$BO$207</definedName>
    <definedName name="__________________MDE11">[12]ALAT!$BO$227</definedName>
    <definedName name="__________________MDE12">[12]ALAT!$BO$247</definedName>
    <definedName name="__________________MDE13">[12]ALAT!$BO$267</definedName>
    <definedName name="__________________MDE14">[12]ALAT!$BO$287</definedName>
    <definedName name="__________________MDE15">[12]ALAT!$BO$307</definedName>
    <definedName name="__________________MDE16">[12]ALAT!$BO$327</definedName>
    <definedName name="__________________MDE17">[12]ALAT!$BO$347</definedName>
    <definedName name="__________________MDE18">[12]ALAT!$BO$367</definedName>
    <definedName name="__________________MDE19">[12]ALAT!$BO$387</definedName>
    <definedName name="__________________MDE20">[12]ALAT!$BO$407</definedName>
    <definedName name="__________________MDE21">[12]ALAT!$BO$427</definedName>
    <definedName name="__________________MDE22">[12]ALAT!$BO$447</definedName>
    <definedName name="__________________MDE23">[12]ALAT!$BO$467</definedName>
    <definedName name="__________________MDE24">[12]ALAT!$BO$487</definedName>
    <definedName name="__________________MDE25">[12]ALAT!$BO$507</definedName>
    <definedName name="__________________MDE26">[12]ALAT!$BO$527</definedName>
    <definedName name="__________________MDE27">[12]ALAT!$BO$547</definedName>
    <definedName name="__________________MDE28">[12]ALAT!$BO$567</definedName>
    <definedName name="__________________MDE29">[12]ALAT!$BO$587</definedName>
    <definedName name="__________________MDE30">[12]ALAT!$BO$607</definedName>
    <definedName name="__________________MDE31">[12]ALAT!$BO$627</definedName>
    <definedName name="__________________MDE32">[12]ALAT!$BO$647</definedName>
    <definedName name="__________________MDE33">[12]ALAT!$BO$667</definedName>
    <definedName name="__________________MDE34">[12]ALAT!$BO$698</definedName>
    <definedName name="__________________MDE35">'[6]Peralatan (2)'!$R$27</definedName>
    <definedName name="__________________ME01">[12]ALAT!$BO$26</definedName>
    <definedName name="__________________ME02">[12]ALAT!$BO$46</definedName>
    <definedName name="__________________ME03">[12]ALAT!$BO$66</definedName>
    <definedName name="__________________ME04">[12]ALAT!$BO$86</definedName>
    <definedName name="__________________ME05">[12]ALAT!$BO$106</definedName>
    <definedName name="__________________ME06">[12]ALAT!$BO$126</definedName>
    <definedName name="__________________ME07">[12]ALAT!$BO$146</definedName>
    <definedName name="__________________ME08">[12]ALAT!$BO$166</definedName>
    <definedName name="__________________ME09">[12]ALAT!$BO$186</definedName>
    <definedName name="__________________ME10">[12]ALAT!$BO$206</definedName>
    <definedName name="__________________ME11">[12]ALAT!$BO$226</definedName>
    <definedName name="__________________ME12">[12]ALAT!$BO$246</definedName>
    <definedName name="__________________ME13">[12]ALAT!$BO$266</definedName>
    <definedName name="__________________ME14">[12]ALAT!$BO$286</definedName>
    <definedName name="__________________ME15">[12]ALAT!$BO$306</definedName>
    <definedName name="__________________ME16">[12]ALAT!$BO$326</definedName>
    <definedName name="__________________ME17">[12]ALAT!$BO$346</definedName>
    <definedName name="__________________ME18">[12]ALAT!$BO$366</definedName>
    <definedName name="__________________ME19">[12]ALAT!$BO$386</definedName>
    <definedName name="__________________ME20">[12]ALAT!$BO$406</definedName>
    <definedName name="__________________ME21">[12]ALAT!$BO$426</definedName>
    <definedName name="__________________ME22">[12]ALAT!$BO$446</definedName>
    <definedName name="__________________ME23">[12]ALAT!$BO$466</definedName>
    <definedName name="__________________ME24">[12]ALAT!$BO$486</definedName>
    <definedName name="__________________ME25">[12]ALAT!$BO$506</definedName>
    <definedName name="__________________ME26">[12]ALAT!$BO$526</definedName>
    <definedName name="__________________ME27">[12]ALAT!$BO$546</definedName>
    <definedName name="__________________ME28">[12]ALAT!$BO$566</definedName>
    <definedName name="__________________ME29">[12]ALAT!$BO$586</definedName>
    <definedName name="__________________ME30">[12]ALAT!$BO$606</definedName>
    <definedName name="__________________ME31">[12]ALAT!$BO$626</definedName>
    <definedName name="__________________ME32">[12]ALAT!$BO$646</definedName>
    <definedName name="__________________ME33">[12]ALAT!$BO$666</definedName>
    <definedName name="__________________ME34">[12]ALAT!$BO$697</definedName>
    <definedName name="__________________ME35">'[6]Peralatan (2)'!$R$26</definedName>
    <definedName name="__________________NCL100">#REF!</definedName>
    <definedName name="__________________NCL200">#REF!</definedName>
    <definedName name="__________________NCL250">#REF!</definedName>
    <definedName name="__________________nin190">#REF!</definedName>
    <definedName name="__________________sc1">#REF!</definedName>
    <definedName name="__________________SC2">#REF!</definedName>
    <definedName name="__________________sc3">#REF!</definedName>
    <definedName name="__________________SN3">#REF!</definedName>
    <definedName name="__________________th100">'[10]dongia _2_'!#REF!</definedName>
    <definedName name="__________________TH160">'[10]dongia _2_'!#REF!</definedName>
    <definedName name="__________________TL1">#REF!</definedName>
    <definedName name="__________________TL2">#REF!</definedName>
    <definedName name="__________________TL3">#REF!</definedName>
    <definedName name="__________________TLA120">#REF!</definedName>
    <definedName name="__________________TLA35">#REF!</definedName>
    <definedName name="__________________TLA50">#REF!</definedName>
    <definedName name="__________________TLA70">#REF!</definedName>
    <definedName name="__________________TLA95">#REF!</definedName>
    <definedName name="__________________TR250">'[10]dongia _2_'!#REF!</definedName>
    <definedName name="__________________tr375">[10]giathanh1!#REF!</definedName>
    <definedName name="__________________VL100">#REF!</definedName>
    <definedName name="__________________VL200">#REF!</definedName>
    <definedName name="__________________VL250">#REF!</definedName>
    <definedName name="_________________abb91">[7]chitimc!#REF!</definedName>
    <definedName name="_________________CT250">'[7]dongia _2_'!#REF!</definedName>
    <definedName name="_________________ddn400">#REF!</definedName>
    <definedName name="_________________ddn600">#REF!</definedName>
    <definedName name="_________________dgt100">'[7]dongia _2_'!#REF!</definedName>
    <definedName name="_________________DIV10">'[4]daftar kuantitas'!#REF!</definedName>
    <definedName name="_________________DIV11">'[4]daftar kuantitas'!#REF!</definedName>
    <definedName name="_________________DIV8">'[4]daftar kuantitas'!#REF!</definedName>
    <definedName name="_________________DIV9">'[4]daftar kuantitas'!#REF!</definedName>
    <definedName name="_________________GID1">[7]LKVL_CK_HT_GD1!$A$4</definedName>
    <definedName name="_________________HAL7">'[4]daftar kuantitas'!#REF!</definedName>
    <definedName name="_________________MAC12">#REF!</definedName>
    <definedName name="_________________MAC46">#REF!</definedName>
    <definedName name="_________________MDE01">[12]ALAT!$BO$27</definedName>
    <definedName name="_________________MDE02">[12]ALAT!$BO$47</definedName>
    <definedName name="_________________MDE03">[12]ALAT!$BO$67</definedName>
    <definedName name="_________________MDE04">[12]ALAT!$BO$87</definedName>
    <definedName name="_________________MDE05">[12]ALAT!$BO$107</definedName>
    <definedName name="_________________MDE06">[12]ALAT!$BO$127</definedName>
    <definedName name="_________________MDE07">[12]ALAT!$BO$147</definedName>
    <definedName name="_________________MDE08">[12]ALAT!$BO$167</definedName>
    <definedName name="_________________MDE09">[12]ALAT!$BO$187</definedName>
    <definedName name="_________________MDE10">[12]ALAT!$BO$207</definedName>
    <definedName name="_________________MDE11">[12]ALAT!$BO$227</definedName>
    <definedName name="_________________MDE12">[12]ALAT!$BO$247</definedName>
    <definedName name="_________________MDE13">[12]ALAT!$BO$267</definedName>
    <definedName name="_________________MDE14">[12]ALAT!$BO$287</definedName>
    <definedName name="_________________MDE15">[12]ALAT!$BO$307</definedName>
    <definedName name="_________________MDE16">[12]ALAT!$BO$327</definedName>
    <definedName name="_________________MDE17">[12]ALAT!$BO$347</definedName>
    <definedName name="_________________MDE18">[12]ALAT!$BO$367</definedName>
    <definedName name="_________________MDE19">[12]ALAT!$BO$387</definedName>
    <definedName name="_________________MDE20">[12]ALAT!$BO$407</definedName>
    <definedName name="_________________MDE21">[12]ALAT!$BO$427</definedName>
    <definedName name="_________________MDE22">[12]ALAT!$BO$447</definedName>
    <definedName name="_________________MDE23">[12]ALAT!$BO$467</definedName>
    <definedName name="_________________MDE24">[12]ALAT!$BO$487</definedName>
    <definedName name="_________________MDE25">[12]ALAT!$BO$507</definedName>
    <definedName name="_________________MDE26">[12]ALAT!$BO$527</definedName>
    <definedName name="_________________MDE27">[12]ALAT!$BO$547</definedName>
    <definedName name="_________________MDE28">[12]ALAT!$BO$567</definedName>
    <definedName name="_________________MDE29">[12]ALAT!$BO$587</definedName>
    <definedName name="_________________MDE30">[12]ALAT!$BO$607</definedName>
    <definedName name="_________________MDE31">[12]ALAT!$BO$627</definedName>
    <definedName name="_________________MDE32">[12]ALAT!$BO$647</definedName>
    <definedName name="_________________MDE33">[12]ALAT!$BO$667</definedName>
    <definedName name="_________________MDE34">[12]ALAT!$BO$698</definedName>
    <definedName name="_________________MDE35">'[6]Peralatan (2)'!$R$27</definedName>
    <definedName name="_________________ME01">[12]ALAT!$BO$26</definedName>
    <definedName name="_________________ME02">[12]ALAT!$BO$46</definedName>
    <definedName name="_________________ME03">[12]ALAT!$BO$66</definedName>
    <definedName name="_________________ME04">[12]ALAT!$BO$86</definedName>
    <definedName name="_________________ME05">[12]ALAT!$BO$106</definedName>
    <definedName name="_________________ME06">[12]ALAT!$BO$126</definedName>
    <definedName name="_________________ME07">[12]ALAT!$BO$146</definedName>
    <definedName name="_________________ME08">[12]ALAT!$BO$166</definedName>
    <definedName name="_________________ME09">[12]ALAT!$BO$186</definedName>
    <definedName name="_________________ME10">[12]ALAT!$BO$206</definedName>
    <definedName name="_________________ME11">[12]ALAT!$BO$226</definedName>
    <definedName name="_________________ME12">[12]ALAT!$BO$246</definedName>
    <definedName name="_________________ME13">[12]ALAT!$BO$266</definedName>
    <definedName name="_________________ME14">[12]ALAT!$BO$286</definedName>
    <definedName name="_________________ME15">[12]ALAT!$BO$306</definedName>
    <definedName name="_________________ME16">[12]ALAT!$BO$326</definedName>
    <definedName name="_________________ME17">[12]ALAT!$BO$346</definedName>
    <definedName name="_________________ME18">[12]ALAT!$BO$366</definedName>
    <definedName name="_________________ME19">[12]ALAT!$BO$386</definedName>
    <definedName name="_________________ME20">[12]ALAT!$BO$406</definedName>
    <definedName name="_________________ME21">[12]ALAT!$BO$426</definedName>
    <definedName name="_________________ME22">[12]ALAT!$BO$446</definedName>
    <definedName name="_________________ME23">[12]ALAT!$BO$466</definedName>
    <definedName name="_________________ME24">[12]ALAT!$BO$486</definedName>
    <definedName name="_________________ME25">[12]ALAT!$BO$506</definedName>
    <definedName name="_________________ME26">[12]ALAT!$BO$526</definedName>
    <definedName name="_________________ME27">[12]ALAT!$BO$546</definedName>
    <definedName name="_________________ME28">[12]ALAT!$BO$566</definedName>
    <definedName name="_________________ME29">[12]ALAT!$BO$586</definedName>
    <definedName name="_________________ME30">[12]ALAT!$BO$606</definedName>
    <definedName name="_________________ME31">[12]ALAT!$BO$626</definedName>
    <definedName name="_________________ME32">[12]ALAT!$BO$646</definedName>
    <definedName name="_________________ME33">[12]ALAT!$BO$666</definedName>
    <definedName name="_________________ME34">[12]ALAT!$BO$697</definedName>
    <definedName name="_________________ME35">'[6]Peralatan (2)'!$R$26</definedName>
    <definedName name="_________________NCL100">#REF!</definedName>
    <definedName name="_________________NCL200">#REF!</definedName>
    <definedName name="_________________NCL250">#REF!</definedName>
    <definedName name="_________________nin190">#REF!</definedName>
    <definedName name="_________________sc1">#REF!</definedName>
    <definedName name="_________________SC2">#REF!</definedName>
    <definedName name="_________________sc3">#REF!</definedName>
    <definedName name="_________________SN3">#REF!</definedName>
    <definedName name="_________________th100">'[10]dongia _2_'!#REF!</definedName>
    <definedName name="_________________TH160">'[10]dongia _2_'!#REF!</definedName>
    <definedName name="_________________TL1">#REF!</definedName>
    <definedName name="_________________TL2">#REF!</definedName>
    <definedName name="_________________TL3">#REF!</definedName>
    <definedName name="_________________TLA120">#REF!</definedName>
    <definedName name="_________________TLA35">#REF!</definedName>
    <definedName name="_________________TLA50">#REF!</definedName>
    <definedName name="_________________TLA70">#REF!</definedName>
    <definedName name="_________________TLA95">#REF!</definedName>
    <definedName name="_________________TR250">'[10]dongia _2_'!#REF!</definedName>
    <definedName name="_________________tr375">[10]giathanh1!#REF!</definedName>
    <definedName name="_________________VL100">#REF!</definedName>
    <definedName name="_________________VL200">#REF!</definedName>
    <definedName name="_________________VL250">#REF!</definedName>
    <definedName name="________________abb91">[7]chitimc!#REF!</definedName>
    <definedName name="________________CT250">'[7]dongia _2_'!#REF!</definedName>
    <definedName name="________________ddn400">#REF!</definedName>
    <definedName name="________________ddn600">#REF!</definedName>
    <definedName name="________________dgt100">'[7]dongia _2_'!#REF!</definedName>
    <definedName name="________________DIV10">'[4]daftar kuantitas'!#REF!</definedName>
    <definedName name="________________DIV11">'[4]daftar kuantitas'!#REF!</definedName>
    <definedName name="________________DIV8">'[4]daftar kuantitas'!#REF!</definedName>
    <definedName name="________________DIV9">'[4]daftar kuantitas'!#REF!</definedName>
    <definedName name="________________GID1">[7]LKVL_CK_HT_GD1!$A$4</definedName>
    <definedName name="________________HAL7">'[4]daftar kuantitas'!#REF!</definedName>
    <definedName name="________________MAC12">#REF!</definedName>
    <definedName name="________________MAC46">#REF!</definedName>
    <definedName name="________________MDE01">[12]ALAT!$BO$27</definedName>
    <definedName name="________________MDE02">[12]ALAT!$BO$47</definedName>
    <definedName name="________________MDE03">[12]ALAT!$BO$67</definedName>
    <definedName name="________________MDE04">[12]ALAT!$BO$87</definedName>
    <definedName name="________________MDE05">[12]ALAT!$BO$107</definedName>
    <definedName name="________________MDE06">[12]ALAT!$BO$127</definedName>
    <definedName name="________________MDE07">[12]ALAT!$BO$147</definedName>
    <definedName name="________________MDE08">[12]ALAT!$BO$167</definedName>
    <definedName name="________________MDE09">[12]ALAT!$BO$187</definedName>
    <definedName name="________________MDE10">[12]ALAT!$BO$207</definedName>
    <definedName name="________________MDE11">[12]ALAT!$BO$227</definedName>
    <definedName name="________________MDE12">[12]ALAT!$BO$247</definedName>
    <definedName name="________________MDE13">[12]ALAT!$BO$267</definedName>
    <definedName name="________________MDE14">[12]ALAT!$BO$287</definedName>
    <definedName name="________________MDE15">[12]ALAT!$BO$307</definedName>
    <definedName name="________________MDE16">[12]ALAT!$BO$327</definedName>
    <definedName name="________________MDE17">[12]ALAT!$BO$347</definedName>
    <definedName name="________________MDE18">[12]ALAT!$BO$367</definedName>
    <definedName name="________________MDE19">[12]ALAT!$BO$387</definedName>
    <definedName name="________________MDE20">[12]ALAT!$BO$407</definedName>
    <definedName name="________________MDE21">[12]ALAT!$BO$427</definedName>
    <definedName name="________________MDE22">[12]ALAT!$BO$447</definedName>
    <definedName name="________________MDE23">[12]ALAT!$BO$467</definedName>
    <definedName name="________________MDE24">[12]ALAT!$BO$487</definedName>
    <definedName name="________________MDE25">[12]ALAT!$BO$507</definedName>
    <definedName name="________________MDE26">[12]ALAT!$BO$527</definedName>
    <definedName name="________________MDE27">[12]ALAT!$BO$547</definedName>
    <definedName name="________________MDE28">[12]ALAT!$BO$567</definedName>
    <definedName name="________________MDE29">[12]ALAT!$BO$587</definedName>
    <definedName name="________________MDE30">[12]ALAT!$BO$607</definedName>
    <definedName name="________________MDE31">[12]ALAT!$BO$627</definedName>
    <definedName name="________________MDE32">[12]ALAT!$BO$647</definedName>
    <definedName name="________________MDE33">[12]ALAT!$BO$667</definedName>
    <definedName name="________________MDE34">[12]ALAT!$BO$698</definedName>
    <definedName name="________________MDE35">'[6]Peralatan (2)'!$R$27</definedName>
    <definedName name="________________ME01">[12]ALAT!$BO$26</definedName>
    <definedName name="________________ME02">[12]ALAT!$BO$46</definedName>
    <definedName name="________________ME03">[12]ALAT!$BO$66</definedName>
    <definedName name="________________ME04">[12]ALAT!$BO$86</definedName>
    <definedName name="________________ME05">[12]ALAT!$BO$106</definedName>
    <definedName name="________________ME06">[12]ALAT!$BO$126</definedName>
    <definedName name="________________ME07">[12]ALAT!$BO$146</definedName>
    <definedName name="________________ME08">[12]ALAT!$BO$166</definedName>
    <definedName name="________________ME09">[12]ALAT!$BO$186</definedName>
    <definedName name="________________ME10">[12]ALAT!$BO$206</definedName>
    <definedName name="________________ME11">[12]ALAT!$BO$226</definedName>
    <definedName name="________________ME12">[12]ALAT!$BO$246</definedName>
    <definedName name="________________ME13">[12]ALAT!$BO$266</definedName>
    <definedName name="________________ME14">[12]ALAT!$BO$286</definedName>
    <definedName name="________________ME15">[12]ALAT!$BO$306</definedName>
    <definedName name="________________ME16">[12]ALAT!$BO$326</definedName>
    <definedName name="________________ME17">[12]ALAT!$BO$346</definedName>
    <definedName name="________________ME18">[12]ALAT!$BO$366</definedName>
    <definedName name="________________ME19">[12]ALAT!$BO$386</definedName>
    <definedName name="________________ME20">[12]ALAT!$BO$406</definedName>
    <definedName name="________________ME21">[12]ALAT!$BO$426</definedName>
    <definedName name="________________ME22">[12]ALAT!$BO$446</definedName>
    <definedName name="________________ME23">[12]ALAT!$BO$466</definedName>
    <definedName name="________________ME24">[12]ALAT!$BO$486</definedName>
    <definedName name="________________ME25">[12]ALAT!$BO$506</definedName>
    <definedName name="________________ME26">[12]ALAT!$BO$526</definedName>
    <definedName name="________________ME27">[12]ALAT!$BO$546</definedName>
    <definedName name="________________ME28">[12]ALAT!$BO$566</definedName>
    <definedName name="________________ME29">[12]ALAT!$BO$586</definedName>
    <definedName name="________________ME30">[12]ALAT!$BO$606</definedName>
    <definedName name="________________ME31">[12]ALAT!$BO$626</definedName>
    <definedName name="________________ME32">[12]ALAT!$BO$646</definedName>
    <definedName name="________________ME33">[12]ALAT!$BO$666</definedName>
    <definedName name="________________ME34">[12]ALAT!$BO$697</definedName>
    <definedName name="________________ME35">'[6]Peralatan (2)'!$R$26</definedName>
    <definedName name="________________NCL100">#REF!</definedName>
    <definedName name="________________NCL200">#REF!</definedName>
    <definedName name="________________NCL250">#REF!</definedName>
    <definedName name="________________nin190">#REF!</definedName>
    <definedName name="________________sc1">#REF!</definedName>
    <definedName name="________________SC2">#REF!</definedName>
    <definedName name="________________sc3">#REF!</definedName>
    <definedName name="________________SN3">#REF!</definedName>
    <definedName name="________________th100">'[10]dongia _2_'!#REF!</definedName>
    <definedName name="________________TH160">'[10]dongia _2_'!#REF!</definedName>
    <definedName name="________________TL1">#REF!</definedName>
    <definedName name="________________TL2">#REF!</definedName>
    <definedName name="________________TL3">#REF!</definedName>
    <definedName name="________________TLA120">#REF!</definedName>
    <definedName name="________________TLA35">#REF!</definedName>
    <definedName name="________________TLA50">#REF!</definedName>
    <definedName name="________________TLA70">#REF!</definedName>
    <definedName name="________________TLA95">#REF!</definedName>
    <definedName name="________________TR250">'[10]dongia _2_'!#REF!</definedName>
    <definedName name="________________tr375">[10]giathanh1!#REF!</definedName>
    <definedName name="________________VL100">#REF!</definedName>
    <definedName name="________________VL200">#REF!</definedName>
    <definedName name="________________VL250">#REF!</definedName>
    <definedName name="_______________abb91">[7]chitimc!#REF!</definedName>
    <definedName name="_______________CT250">'[7]dongia _2_'!#REF!</definedName>
    <definedName name="_______________ddn400">#REF!</definedName>
    <definedName name="_______________ddn600">#REF!</definedName>
    <definedName name="_______________dgt100">'[7]dongia _2_'!#REF!</definedName>
    <definedName name="_______________DIV10">'[4]daftar kuantitas'!#REF!</definedName>
    <definedName name="_______________DIV11">'[4]daftar kuantitas'!#REF!</definedName>
    <definedName name="_______________DIV8">'[4]daftar kuantitas'!#REF!</definedName>
    <definedName name="_______________DIV9">'[4]daftar kuantitas'!#REF!</definedName>
    <definedName name="_______________GID1">[7]LKVL_CK_HT_GD1!$A$4</definedName>
    <definedName name="_______________HAL7">'[4]daftar kuantitas'!#REF!</definedName>
    <definedName name="_______________MAC12">#REF!</definedName>
    <definedName name="_______________MAC46">#REF!</definedName>
    <definedName name="_______________MDE01">[12]ALAT!$BO$27</definedName>
    <definedName name="_______________MDE02">[12]ALAT!$BO$47</definedName>
    <definedName name="_______________MDE03">[12]ALAT!$BO$67</definedName>
    <definedName name="_______________MDE04">[12]ALAT!$BO$87</definedName>
    <definedName name="_______________MDE05">[12]ALAT!$BO$107</definedName>
    <definedName name="_______________MDE06">[12]ALAT!$BO$127</definedName>
    <definedName name="_______________MDE07">[12]ALAT!$BO$147</definedName>
    <definedName name="_______________MDE08">[12]ALAT!$BO$167</definedName>
    <definedName name="_______________MDE09">[12]ALAT!$BO$187</definedName>
    <definedName name="_______________MDE10">[12]ALAT!$BO$207</definedName>
    <definedName name="_______________MDE11">[12]ALAT!$BO$227</definedName>
    <definedName name="_______________MDE12">[12]ALAT!$BO$247</definedName>
    <definedName name="_______________MDE13">[12]ALAT!$BO$267</definedName>
    <definedName name="_______________MDE14">[12]ALAT!$BO$287</definedName>
    <definedName name="_______________MDE15">[12]ALAT!$BO$307</definedName>
    <definedName name="_______________MDE16">[12]ALAT!$BO$327</definedName>
    <definedName name="_______________MDE17">[12]ALAT!$BO$347</definedName>
    <definedName name="_______________MDE18">[12]ALAT!$BO$367</definedName>
    <definedName name="_______________MDE19">[12]ALAT!$BO$387</definedName>
    <definedName name="_______________MDE20">[12]ALAT!$BO$407</definedName>
    <definedName name="_______________MDE21">[12]ALAT!$BO$427</definedName>
    <definedName name="_______________MDE22">[12]ALAT!$BO$447</definedName>
    <definedName name="_______________MDE23">[12]ALAT!$BO$467</definedName>
    <definedName name="_______________MDE24">[12]ALAT!$BO$487</definedName>
    <definedName name="_______________MDE25">[12]ALAT!$BO$507</definedName>
    <definedName name="_______________MDE26">[12]ALAT!$BO$527</definedName>
    <definedName name="_______________MDE27">[12]ALAT!$BO$547</definedName>
    <definedName name="_______________MDE28">[12]ALAT!$BO$567</definedName>
    <definedName name="_______________MDE29">[12]ALAT!$BO$587</definedName>
    <definedName name="_______________MDE30">[12]ALAT!$BO$607</definedName>
    <definedName name="_______________MDE31">[12]ALAT!$BO$627</definedName>
    <definedName name="_______________MDE32">[12]ALAT!$BO$647</definedName>
    <definedName name="_______________MDE33">[12]ALAT!$BO$667</definedName>
    <definedName name="_______________MDE34">[12]ALAT!$BO$698</definedName>
    <definedName name="_______________MDE35">'[6]Peralatan (2)'!$R$27</definedName>
    <definedName name="_______________ME01">[12]ALAT!$BO$26</definedName>
    <definedName name="_______________ME02">[12]ALAT!$BO$46</definedName>
    <definedName name="_______________ME03">[12]ALAT!$BO$66</definedName>
    <definedName name="_______________ME04">[12]ALAT!$BO$86</definedName>
    <definedName name="_______________ME05">[12]ALAT!$BO$106</definedName>
    <definedName name="_______________ME06">[12]ALAT!$BO$126</definedName>
    <definedName name="_______________ME07">[12]ALAT!$BO$146</definedName>
    <definedName name="_______________ME08">[12]ALAT!$BO$166</definedName>
    <definedName name="_______________ME09">[12]ALAT!$BO$186</definedName>
    <definedName name="_______________ME10">[12]ALAT!$BO$206</definedName>
    <definedName name="_______________ME11">[12]ALAT!$BO$226</definedName>
    <definedName name="_______________ME12">[12]ALAT!$BO$246</definedName>
    <definedName name="_______________ME13">[12]ALAT!$BO$266</definedName>
    <definedName name="_______________ME14">[12]ALAT!$BO$286</definedName>
    <definedName name="_______________ME15">[12]ALAT!$BO$306</definedName>
    <definedName name="_______________ME16">[12]ALAT!$BO$326</definedName>
    <definedName name="_______________ME17">[12]ALAT!$BO$346</definedName>
    <definedName name="_______________ME18">[12]ALAT!$BO$366</definedName>
    <definedName name="_______________ME19">[12]ALAT!$BO$386</definedName>
    <definedName name="_______________ME20">[12]ALAT!$BO$406</definedName>
    <definedName name="_______________ME21">[12]ALAT!$BO$426</definedName>
    <definedName name="_______________ME22">[12]ALAT!$BO$446</definedName>
    <definedName name="_______________ME23">[12]ALAT!$BO$466</definedName>
    <definedName name="_______________ME24">[12]ALAT!$BO$486</definedName>
    <definedName name="_______________ME25">[12]ALAT!$BO$506</definedName>
    <definedName name="_______________ME26">[12]ALAT!$BO$526</definedName>
    <definedName name="_______________ME27">[12]ALAT!$BO$546</definedName>
    <definedName name="_______________ME28">[12]ALAT!$BO$566</definedName>
    <definedName name="_______________ME29">[12]ALAT!$BO$586</definedName>
    <definedName name="_______________ME30">[12]ALAT!$BO$606</definedName>
    <definedName name="_______________ME31">[12]ALAT!$BO$626</definedName>
    <definedName name="_______________ME32">[12]ALAT!$BO$646</definedName>
    <definedName name="_______________ME33">[12]ALAT!$BO$666</definedName>
    <definedName name="_______________ME34">[12]ALAT!$BO$697</definedName>
    <definedName name="_______________ME35">'[6]Peralatan (2)'!$R$26</definedName>
    <definedName name="_______________NCL100">#REF!</definedName>
    <definedName name="_______________NCL200">#REF!</definedName>
    <definedName name="_______________NCL250">#REF!</definedName>
    <definedName name="_______________nin190">#REF!</definedName>
    <definedName name="_______________sc1">#REF!</definedName>
    <definedName name="_______________SC2">#REF!</definedName>
    <definedName name="_______________sc3">#REF!</definedName>
    <definedName name="_______________SN3">#REF!</definedName>
    <definedName name="_______________th100">'[10]dongia _2_'!#REF!</definedName>
    <definedName name="_______________TH160">'[10]dongia _2_'!#REF!</definedName>
    <definedName name="_______________TL1">#REF!</definedName>
    <definedName name="_______________TL2">#REF!</definedName>
    <definedName name="_______________TL3">#REF!</definedName>
    <definedName name="_______________TLA120">#REF!</definedName>
    <definedName name="_______________TLA35">#REF!</definedName>
    <definedName name="_______________TLA50">#REF!</definedName>
    <definedName name="_______________TLA70">#REF!</definedName>
    <definedName name="_______________TLA95">#REF!</definedName>
    <definedName name="_______________TR250">'[10]dongia _2_'!#REF!</definedName>
    <definedName name="_______________tr375">[10]giathanh1!#REF!</definedName>
    <definedName name="_______________VL100">#REF!</definedName>
    <definedName name="_______________VL200">#REF!</definedName>
    <definedName name="_______________VL250">#REF!</definedName>
    <definedName name="______________abb91">[7]chitimc!#REF!</definedName>
    <definedName name="______________CT250">'[7]dongia _2_'!#REF!</definedName>
    <definedName name="______________ddn400">#REF!</definedName>
    <definedName name="______________ddn600">#REF!</definedName>
    <definedName name="______________dgt100">'[7]dongia _2_'!#REF!</definedName>
    <definedName name="______________DIV10">'[4]daftar kuantitas'!#REF!</definedName>
    <definedName name="______________DIV11">'[4]daftar kuantitas'!#REF!</definedName>
    <definedName name="______________DIV8">'[4]daftar kuantitas'!#REF!</definedName>
    <definedName name="______________DIV9">'[4]daftar kuantitas'!#REF!</definedName>
    <definedName name="______________GID1">[7]LKVL_CK_HT_GD1!$A$4</definedName>
    <definedName name="______________HAL7">'[4]daftar kuantitas'!#REF!</definedName>
    <definedName name="______________MAC12">#REF!</definedName>
    <definedName name="______________MAC46">#REF!</definedName>
    <definedName name="______________MDE01">[12]ALAT!$BO$27</definedName>
    <definedName name="______________MDE02">[12]ALAT!$BO$47</definedName>
    <definedName name="______________MDE03">[12]ALAT!$BO$67</definedName>
    <definedName name="______________MDE04">[12]ALAT!$BO$87</definedName>
    <definedName name="______________MDE05">[12]ALAT!$BO$107</definedName>
    <definedName name="______________MDE06">[12]ALAT!$BO$127</definedName>
    <definedName name="______________MDE07">[12]ALAT!$BO$147</definedName>
    <definedName name="______________MDE08">[12]ALAT!$BO$167</definedName>
    <definedName name="______________MDE09">[12]ALAT!$BO$187</definedName>
    <definedName name="______________MDE10">[12]ALAT!$BO$207</definedName>
    <definedName name="______________MDE11">[12]ALAT!$BO$227</definedName>
    <definedName name="______________MDE12">[12]ALAT!$BO$247</definedName>
    <definedName name="______________MDE13">[12]ALAT!$BO$267</definedName>
    <definedName name="______________MDE14">[12]ALAT!$BO$287</definedName>
    <definedName name="______________MDE15">[12]ALAT!$BO$307</definedName>
    <definedName name="______________MDE16">[12]ALAT!$BO$327</definedName>
    <definedName name="______________MDE17">[12]ALAT!$BO$347</definedName>
    <definedName name="______________MDE18">[12]ALAT!$BO$367</definedName>
    <definedName name="______________MDE19">[12]ALAT!$BO$387</definedName>
    <definedName name="______________MDE20">[12]ALAT!$BO$407</definedName>
    <definedName name="______________MDE21">[12]ALAT!$BO$427</definedName>
    <definedName name="______________MDE22">[12]ALAT!$BO$447</definedName>
    <definedName name="______________MDE23">[12]ALAT!$BO$467</definedName>
    <definedName name="______________MDE24">[12]ALAT!$BO$487</definedName>
    <definedName name="______________MDE25">[12]ALAT!$BO$507</definedName>
    <definedName name="______________MDE26">[12]ALAT!$BO$527</definedName>
    <definedName name="______________MDE27">[12]ALAT!$BO$547</definedName>
    <definedName name="______________MDE28">[12]ALAT!$BO$567</definedName>
    <definedName name="______________MDE29">[12]ALAT!$BO$587</definedName>
    <definedName name="______________MDE30">[12]ALAT!$BO$607</definedName>
    <definedName name="______________MDE31">[12]ALAT!$BO$627</definedName>
    <definedName name="______________MDE32">[12]ALAT!$BO$647</definedName>
    <definedName name="______________MDE33">[12]ALAT!$BO$667</definedName>
    <definedName name="______________MDE34">[12]ALAT!$BO$698</definedName>
    <definedName name="______________MDE35">'[6]Peralatan (2)'!$R$27</definedName>
    <definedName name="______________ME01">[12]ALAT!$BO$26</definedName>
    <definedName name="______________ME02">[12]ALAT!$BO$46</definedName>
    <definedName name="______________ME03">[12]ALAT!$BO$66</definedName>
    <definedName name="______________ME04">[12]ALAT!$BO$86</definedName>
    <definedName name="______________ME05">[12]ALAT!$BO$106</definedName>
    <definedName name="______________ME06">[12]ALAT!$BO$126</definedName>
    <definedName name="______________ME07">[12]ALAT!$BO$146</definedName>
    <definedName name="______________ME08">[12]ALAT!$BO$166</definedName>
    <definedName name="______________ME09">[12]ALAT!$BO$186</definedName>
    <definedName name="______________ME10">[12]ALAT!$BO$206</definedName>
    <definedName name="______________ME11">[12]ALAT!$BO$226</definedName>
    <definedName name="______________ME12">[12]ALAT!$BO$246</definedName>
    <definedName name="______________ME13">[12]ALAT!$BO$266</definedName>
    <definedName name="______________ME14">[12]ALAT!$BO$286</definedName>
    <definedName name="______________ME15">[12]ALAT!$BO$306</definedName>
    <definedName name="______________ME16">[12]ALAT!$BO$326</definedName>
    <definedName name="______________ME17">[12]ALAT!$BO$346</definedName>
    <definedName name="______________ME18">[12]ALAT!$BO$366</definedName>
    <definedName name="______________ME19">[12]ALAT!$BO$386</definedName>
    <definedName name="______________ME20">[12]ALAT!$BO$406</definedName>
    <definedName name="______________ME21">[12]ALAT!$BO$426</definedName>
    <definedName name="______________ME22">[12]ALAT!$BO$446</definedName>
    <definedName name="______________ME23">[12]ALAT!$BO$466</definedName>
    <definedName name="______________ME24">[12]ALAT!$BO$486</definedName>
    <definedName name="______________ME25">[12]ALAT!$BO$506</definedName>
    <definedName name="______________ME26">[12]ALAT!$BO$526</definedName>
    <definedName name="______________ME27">[12]ALAT!$BO$546</definedName>
    <definedName name="______________ME28">[12]ALAT!$BO$566</definedName>
    <definedName name="______________ME29">[12]ALAT!$BO$586</definedName>
    <definedName name="______________ME30">[12]ALAT!$BO$606</definedName>
    <definedName name="______________ME31">[12]ALAT!$BO$626</definedName>
    <definedName name="______________ME32">[12]ALAT!$BO$646</definedName>
    <definedName name="______________ME33">[12]ALAT!$BO$666</definedName>
    <definedName name="______________ME34">[12]ALAT!$BO$697</definedName>
    <definedName name="______________ME35">'[6]Peralatan (2)'!$R$26</definedName>
    <definedName name="______________NCL100">#REF!</definedName>
    <definedName name="______________NCL200">#REF!</definedName>
    <definedName name="______________NCL250">#REF!</definedName>
    <definedName name="______________nin190">#REF!</definedName>
    <definedName name="______________sc1">#REF!</definedName>
    <definedName name="______________SC2">#REF!</definedName>
    <definedName name="______________sc3">#REF!</definedName>
    <definedName name="______________SN3">#REF!</definedName>
    <definedName name="______________th100">'[10]dongia _2_'!#REF!</definedName>
    <definedName name="______________TH160">'[10]dongia _2_'!#REF!</definedName>
    <definedName name="______________TL1">#REF!</definedName>
    <definedName name="______________TL2">#REF!</definedName>
    <definedName name="______________TL3">#REF!</definedName>
    <definedName name="______________TLA120">#REF!</definedName>
    <definedName name="______________TLA35">#REF!</definedName>
    <definedName name="______________TLA50">#REF!</definedName>
    <definedName name="______________TLA70">#REF!</definedName>
    <definedName name="______________TLA95">#REF!</definedName>
    <definedName name="______________TR250">'[10]dongia _2_'!#REF!</definedName>
    <definedName name="______________tr375">[10]giathanh1!#REF!</definedName>
    <definedName name="______________VL100">#REF!</definedName>
    <definedName name="______________VL200">#REF!</definedName>
    <definedName name="______________VL250">#REF!</definedName>
    <definedName name="_____________abb91">[7]chitimc!#REF!</definedName>
    <definedName name="_____________CT250">'[7]dongia _2_'!#REF!</definedName>
    <definedName name="_____________ddn400">#REF!</definedName>
    <definedName name="_____________ddn600">#REF!</definedName>
    <definedName name="_____________dgt100">'[7]dongia _2_'!#REF!</definedName>
    <definedName name="_____________DIV10">'[4]daftar kuantitas'!#REF!</definedName>
    <definedName name="_____________DIV11">'[8]Kuantitas &amp; Harga ruas II'!#REF!</definedName>
    <definedName name="_____________DIV8">'[4]daftar kuantitas'!#REF!</definedName>
    <definedName name="_____________DIV9">'[4]daftar kuantitas'!#REF!</definedName>
    <definedName name="_____________GID1">[7]LKVL_CK_HT_GD1!$A$4</definedName>
    <definedName name="_____________HAL7">'[4]daftar kuantitas'!#REF!</definedName>
    <definedName name="_____________MAC12">#REF!</definedName>
    <definedName name="_____________MAC46">#REF!</definedName>
    <definedName name="_____________MDE01">[12]ALAT!$BO$27</definedName>
    <definedName name="_____________MDE02">[12]ALAT!$BO$47</definedName>
    <definedName name="_____________MDE03">[12]ALAT!$BO$67</definedName>
    <definedName name="_____________MDE04">[12]ALAT!$BO$87</definedName>
    <definedName name="_____________MDE05">[12]ALAT!$BO$107</definedName>
    <definedName name="_____________MDE06">[12]ALAT!$BO$127</definedName>
    <definedName name="_____________MDE07">[12]ALAT!$BO$147</definedName>
    <definedName name="_____________MDE08">[12]ALAT!$BO$167</definedName>
    <definedName name="_____________MDE09">[12]ALAT!$BO$187</definedName>
    <definedName name="_____________MDE10">[12]ALAT!$BO$207</definedName>
    <definedName name="_____________MDE11">[12]ALAT!$BO$227</definedName>
    <definedName name="_____________MDE12">[12]ALAT!$BO$247</definedName>
    <definedName name="_____________MDE13">[12]ALAT!$BO$267</definedName>
    <definedName name="_____________MDE14">[12]ALAT!$BO$287</definedName>
    <definedName name="_____________MDE15">[12]ALAT!$BO$307</definedName>
    <definedName name="_____________MDE16">[12]ALAT!$BO$327</definedName>
    <definedName name="_____________MDE17">[12]ALAT!$BO$347</definedName>
    <definedName name="_____________MDE18">[12]ALAT!$BO$367</definedName>
    <definedName name="_____________MDE19">[12]ALAT!$BO$387</definedName>
    <definedName name="_____________MDE20">[12]ALAT!$BO$407</definedName>
    <definedName name="_____________MDE21">[12]ALAT!$BO$427</definedName>
    <definedName name="_____________MDE22">[12]ALAT!$BO$447</definedName>
    <definedName name="_____________MDE23">[12]ALAT!$BO$467</definedName>
    <definedName name="_____________MDE24">[12]ALAT!$BO$487</definedName>
    <definedName name="_____________MDE25">[12]ALAT!$BO$507</definedName>
    <definedName name="_____________MDE26">[12]ALAT!$BO$527</definedName>
    <definedName name="_____________MDE27">[12]ALAT!$BO$547</definedName>
    <definedName name="_____________MDE28">[12]ALAT!$BO$567</definedName>
    <definedName name="_____________MDE29">[12]ALAT!$BO$587</definedName>
    <definedName name="_____________MDE30">[12]ALAT!$BO$607</definedName>
    <definedName name="_____________MDE31">[12]ALAT!$BO$627</definedName>
    <definedName name="_____________MDE32">[12]ALAT!$BO$647</definedName>
    <definedName name="_____________MDE33">[12]ALAT!$BO$667</definedName>
    <definedName name="_____________MDE34">[12]ALAT!$BO$698</definedName>
    <definedName name="_____________MDE35">'[6]Peralatan (2)'!$R$27</definedName>
    <definedName name="_____________ME01">[12]ALAT!$BO$26</definedName>
    <definedName name="_____________ME02">[12]ALAT!$BO$46</definedName>
    <definedName name="_____________ME03">[12]ALAT!$BO$66</definedName>
    <definedName name="_____________ME04">[12]ALAT!$BO$86</definedName>
    <definedName name="_____________ME05">[12]ALAT!$BO$106</definedName>
    <definedName name="_____________ME06">[12]ALAT!$BO$126</definedName>
    <definedName name="_____________ME07">[12]ALAT!$BO$146</definedName>
    <definedName name="_____________ME08">[12]ALAT!$BO$166</definedName>
    <definedName name="_____________ME09">[12]ALAT!$BO$186</definedName>
    <definedName name="_____________ME10">[12]ALAT!$BO$206</definedName>
    <definedName name="_____________ME11">[12]ALAT!$BO$226</definedName>
    <definedName name="_____________ME12">[12]ALAT!$BO$246</definedName>
    <definedName name="_____________ME13">[12]ALAT!$BO$266</definedName>
    <definedName name="_____________ME14">[12]ALAT!$BO$286</definedName>
    <definedName name="_____________ME15">[12]ALAT!$BO$306</definedName>
    <definedName name="_____________ME16">[12]ALAT!$BO$326</definedName>
    <definedName name="_____________ME17">[12]ALAT!$BO$346</definedName>
    <definedName name="_____________ME18">[12]ALAT!$BO$366</definedName>
    <definedName name="_____________ME19">[12]ALAT!$BO$386</definedName>
    <definedName name="_____________ME20">[12]ALAT!$BO$406</definedName>
    <definedName name="_____________ME21">[12]ALAT!$BO$426</definedName>
    <definedName name="_____________ME22">[12]ALAT!$BO$446</definedName>
    <definedName name="_____________ME23">[12]ALAT!$BO$466</definedName>
    <definedName name="_____________ME24">[12]ALAT!$BO$486</definedName>
    <definedName name="_____________ME25">[12]ALAT!$BO$506</definedName>
    <definedName name="_____________ME26">[12]ALAT!$BO$526</definedName>
    <definedName name="_____________ME27">[12]ALAT!$BO$546</definedName>
    <definedName name="_____________ME28">[12]ALAT!$BO$566</definedName>
    <definedName name="_____________ME29">[12]ALAT!$BO$586</definedName>
    <definedName name="_____________ME30">[12]ALAT!$BO$606</definedName>
    <definedName name="_____________ME31">[12]ALAT!$BO$626</definedName>
    <definedName name="_____________ME32">[12]ALAT!$BO$646</definedName>
    <definedName name="_____________ME33">[12]ALAT!$BO$666</definedName>
    <definedName name="_____________ME34">[12]ALAT!$BO$697</definedName>
    <definedName name="_____________ME35">'[6]Peralatan (2)'!$R$26</definedName>
    <definedName name="_____________NCL100">#REF!</definedName>
    <definedName name="_____________NCL200">#REF!</definedName>
    <definedName name="_____________NCL250">#REF!</definedName>
    <definedName name="_____________nin190">#REF!</definedName>
    <definedName name="_____________sc1">#REF!</definedName>
    <definedName name="_____________SC2">#REF!</definedName>
    <definedName name="_____________sc3">#REF!</definedName>
    <definedName name="_____________SN3">#REF!</definedName>
    <definedName name="_____________th100">'[10]dongia _2_'!#REF!</definedName>
    <definedName name="_____________TH160">'[10]dongia _2_'!#REF!</definedName>
    <definedName name="_____________TL1">#REF!</definedName>
    <definedName name="_____________TL2">#REF!</definedName>
    <definedName name="_____________TL3">#REF!</definedName>
    <definedName name="_____________TLA120">#REF!</definedName>
    <definedName name="_____________TLA35">#REF!</definedName>
    <definedName name="_____________TLA50">#REF!</definedName>
    <definedName name="_____________TLA70">#REF!</definedName>
    <definedName name="_____________TLA95">#REF!</definedName>
    <definedName name="_____________TR250">'[10]dongia _2_'!#REF!</definedName>
    <definedName name="_____________tr375">[10]giathanh1!#REF!</definedName>
    <definedName name="_____________VL100">#REF!</definedName>
    <definedName name="_____________VL200">#REF!</definedName>
    <definedName name="_____________VL250">#REF!</definedName>
    <definedName name="____________abb91">[7]chitimc!#REF!</definedName>
    <definedName name="____________CT250">'[7]dongia _2_'!#REF!</definedName>
    <definedName name="____________ddn400">#REF!</definedName>
    <definedName name="____________ddn600">#REF!</definedName>
    <definedName name="____________dgt100">'[7]dongia _2_'!#REF!</definedName>
    <definedName name="____________DIV10">'[4]daftar kuantitas'!#REF!</definedName>
    <definedName name="____________DIV11">'[4]daftar kuantitas'!#REF!</definedName>
    <definedName name="____________DIV8">'[4]daftar kuantitas'!#REF!</definedName>
    <definedName name="____________DIV9">'[4]daftar kuantitas'!#REF!</definedName>
    <definedName name="____________GID1">[7]LKVL_CK_HT_GD1!$A$4</definedName>
    <definedName name="____________HAL7">'[4]daftar kuantitas'!#REF!</definedName>
    <definedName name="____________MAC12">#REF!</definedName>
    <definedName name="____________MAC46">#REF!</definedName>
    <definedName name="____________MDE01">[12]ALAT!$BO$27</definedName>
    <definedName name="____________MDE02">[12]ALAT!$BO$47</definedName>
    <definedName name="____________MDE03">[12]ALAT!$BO$67</definedName>
    <definedName name="____________MDE04">[12]ALAT!$BO$87</definedName>
    <definedName name="____________MDE05">[12]ALAT!$BO$107</definedName>
    <definedName name="____________MDE06">[12]ALAT!$BO$127</definedName>
    <definedName name="____________MDE07">[12]ALAT!$BO$147</definedName>
    <definedName name="____________MDE08">[12]ALAT!$BO$167</definedName>
    <definedName name="____________MDE09">[12]ALAT!$BO$187</definedName>
    <definedName name="____________MDE10">[12]ALAT!$BO$207</definedName>
    <definedName name="____________MDE11">[12]ALAT!$BO$227</definedName>
    <definedName name="____________MDE12">[12]ALAT!$BO$247</definedName>
    <definedName name="____________MDE13">[12]ALAT!$BO$267</definedName>
    <definedName name="____________MDE14">[12]ALAT!$BO$287</definedName>
    <definedName name="____________MDE15">[12]ALAT!$BO$307</definedName>
    <definedName name="____________MDE16">[12]ALAT!$BO$327</definedName>
    <definedName name="____________MDE17">[12]ALAT!$BO$347</definedName>
    <definedName name="____________MDE18">[12]ALAT!$BO$367</definedName>
    <definedName name="____________MDE19">[12]ALAT!$BO$387</definedName>
    <definedName name="____________MDE20">[12]ALAT!$BO$407</definedName>
    <definedName name="____________MDE21">[12]ALAT!$BO$427</definedName>
    <definedName name="____________MDE22">[12]ALAT!$BO$447</definedName>
    <definedName name="____________MDE23">[12]ALAT!$BO$467</definedName>
    <definedName name="____________MDE24">[12]ALAT!$BO$487</definedName>
    <definedName name="____________MDE25">[12]ALAT!$BO$507</definedName>
    <definedName name="____________MDE26">[12]ALAT!$BO$527</definedName>
    <definedName name="____________MDE27">[12]ALAT!$BO$547</definedName>
    <definedName name="____________MDE28">[12]ALAT!$BO$567</definedName>
    <definedName name="____________MDE29">[12]ALAT!$BO$587</definedName>
    <definedName name="____________MDE30">[12]ALAT!$BO$607</definedName>
    <definedName name="____________MDE31">[12]ALAT!$BO$627</definedName>
    <definedName name="____________MDE32">[12]ALAT!$BO$647</definedName>
    <definedName name="____________MDE33">[12]ALAT!$BO$667</definedName>
    <definedName name="____________MDE34">[12]ALAT!$BO$698</definedName>
    <definedName name="____________MDE35">'[6]Peralatan (2)'!$R$27</definedName>
    <definedName name="____________ME01">[12]ALAT!$BO$26</definedName>
    <definedName name="____________ME02">[12]ALAT!$BO$46</definedName>
    <definedName name="____________ME03">[12]ALAT!$BO$66</definedName>
    <definedName name="____________ME04">[12]ALAT!$BO$86</definedName>
    <definedName name="____________ME05">[12]ALAT!$BO$106</definedName>
    <definedName name="____________ME06">[12]ALAT!$BO$126</definedName>
    <definedName name="____________ME07">[12]ALAT!$BO$146</definedName>
    <definedName name="____________ME08">[12]ALAT!$BO$166</definedName>
    <definedName name="____________ME09">[12]ALAT!$BO$186</definedName>
    <definedName name="____________ME10">[12]ALAT!$BO$206</definedName>
    <definedName name="____________ME11">[12]ALAT!$BO$226</definedName>
    <definedName name="____________ME12">[12]ALAT!$BO$246</definedName>
    <definedName name="____________ME13">[12]ALAT!$BO$266</definedName>
    <definedName name="____________ME14">[12]ALAT!$BO$286</definedName>
    <definedName name="____________ME15">[12]ALAT!$BO$306</definedName>
    <definedName name="____________ME16">[12]ALAT!$BO$326</definedName>
    <definedName name="____________ME17">[12]ALAT!$BO$346</definedName>
    <definedName name="____________ME18">[12]ALAT!$BO$366</definedName>
    <definedName name="____________ME19">[12]ALAT!$BO$386</definedName>
    <definedName name="____________ME20">[12]ALAT!$BO$406</definedName>
    <definedName name="____________ME21">[12]ALAT!$BO$426</definedName>
    <definedName name="____________ME22">[12]ALAT!$BO$446</definedName>
    <definedName name="____________ME23">[12]ALAT!$BO$466</definedName>
    <definedName name="____________ME24">[12]ALAT!$BO$486</definedName>
    <definedName name="____________ME25">[12]ALAT!$BO$506</definedName>
    <definedName name="____________ME26">[12]ALAT!$BO$526</definedName>
    <definedName name="____________ME27">[12]ALAT!$BO$546</definedName>
    <definedName name="____________ME28">[12]ALAT!$BO$566</definedName>
    <definedName name="____________ME29">[12]ALAT!$BO$586</definedName>
    <definedName name="____________ME30">[12]ALAT!$BO$606</definedName>
    <definedName name="____________ME31">[12]ALAT!$BO$626</definedName>
    <definedName name="____________ME32">[12]ALAT!$BO$646</definedName>
    <definedName name="____________ME33">[12]ALAT!$BO$666</definedName>
    <definedName name="____________ME34">[12]ALAT!$BO$697</definedName>
    <definedName name="____________ME35">'[6]Peralatan (2)'!$R$26</definedName>
    <definedName name="____________NCL100">#REF!</definedName>
    <definedName name="____________NCL200">#REF!</definedName>
    <definedName name="____________NCL250">#REF!</definedName>
    <definedName name="____________nin190">#REF!</definedName>
    <definedName name="____________sc1">#REF!</definedName>
    <definedName name="____________SC2">#REF!</definedName>
    <definedName name="____________sc3">#REF!</definedName>
    <definedName name="____________SN3">#REF!</definedName>
    <definedName name="____________th100">'[10]dongia _2_'!#REF!</definedName>
    <definedName name="____________TH160">'[10]dongia _2_'!#REF!</definedName>
    <definedName name="____________TL1">#REF!</definedName>
    <definedName name="____________TL2">#REF!</definedName>
    <definedName name="____________TL3">#REF!</definedName>
    <definedName name="____________TLA120">#REF!</definedName>
    <definedName name="____________TLA35">#REF!</definedName>
    <definedName name="____________TLA50">#REF!</definedName>
    <definedName name="____________TLA70">#REF!</definedName>
    <definedName name="____________TLA95">#REF!</definedName>
    <definedName name="____________TR250">'[10]dongia _2_'!#REF!</definedName>
    <definedName name="____________tr375">[10]giathanh1!#REF!</definedName>
    <definedName name="____________VL100">#REF!</definedName>
    <definedName name="____________VL200">#REF!</definedName>
    <definedName name="____________VL250">#REF!</definedName>
    <definedName name="___________abb91">[7]chitimc!#REF!</definedName>
    <definedName name="___________CT250">'[7]dongia _2_'!#REF!</definedName>
    <definedName name="___________ddn400">#REF!</definedName>
    <definedName name="___________ddn600">#REF!</definedName>
    <definedName name="___________dgt100">'[7]dongia _2_'!#REF!</definedName>
    <definedName name="___________DIV10">'[4]daftar kuantitas'!#REF!</definedName>
    <definedName name="___________DIV11">'[4]daftar kuantitas'!#REF!</definedName>
    <definedName name="___________DIV8">'[4]daftar kuantitas'!#REF!</definedName>
    <definedName name="___________DIV9">'[4]daftar kuantitas'!#REF!</definedName>
    <definedName name="___________GID1">[7]LKVL_CK_HT_GD1!$A$4</definedName>
    <definedName name="___________HAL7">'[4]daftar kuantitas'!#REF!</definedName>
    <definedName name="___________MAC12">#REF!</definedName>
    <definedName name="___________MAC46">#REF!</definedName>
    <definedName name="___________MDE01">[12]ALAT!$BO$27</definedName>
    <definedName name="___________MDE02">[12]ALAT!$BO$47</definedName>
    <definedName name="___________MDE03">[12]ALAT!$BO$67</definedName>
    <definedName name="___________MDE04">[12]ALAT!$BO$87</definedName>
    <definedName name="___________MDE05">[12]ALAT!$BO$107</definedName>
    <definedName name="___________MDE06">[12]ALAT!$BO$127</definedName>
    <definedName name="___________MDE07">[12]ALAT!$BO$147</definedName>
    <definedName name="___________MDE08">[12]ALAT!$BO$167</definedName>
    <definedName name="___________MDE09">[12]ALAT!$BO$187</definedName>
    <definedName name="___________MDE10">[12]ALAT!$BO$207</definedName>
    <definedName name="___________MDE11">[12]ALAT!$BO$227</definedName>
    <definedName name="___________MDE12">[12]ALAT!$BO$247</definedName>
    <definedName name="___________MDE13">[12]ALAT!$BO$267</definedName>
    <definedName name="___________MDE14">[12]ALAT!$BO$287</definedName>
    <definedName name="___________MDE15">[12]ALAT!$BO$307</definedName>
    <definedName name="___________MDE16">[12]ALAT!$BO$327</definedName>
    <definedName name="___________MDE17">[12]ALAT!$BO$347</definedName>
    <definedName name="___________MDE18">[12]ALAT!$BO$367</definedName>
    <definedName name="___________MDE19">[12]ALAT!$BO$387</definedName>
    <definedName name="___________MDE20">[12]ALAT!$BO$407</definedName>
    <definedName name="___________MDE21">[12]ALAT!$BO$427</definedName>
    <definedName name="___________MDE22">[12]ALAT!$BO$447</definedName>
    <definedName name="___________MDE23">[12]ALAT!$BO$467</definedName>
    <definedName name="___________MDE24">[12]ALAT!$BO$487</definedName>
    <definedName name="___________MDE25">[12]ALAT!$BO$507</definedName>
    <definedName name="___________MDE26">[12]ALAT!$BO$527</definedName>
    <definedName name="___________MDE27">[12]ALAT!$BO$547</definedName>
    <definedName name="___________MDE28">[12]ALAT!$BO$567</definedName>
    <definedName name="___________MDE29">[12]ALAT!$BO$587</definedName>
    <definedName name="___________MDE30">[12]ALAT!$BO$607</definedName>
    <definedName name="___________MDE31">[12]ALAT!$BO$627</definedName>
    <definedName name="___________MDE32">[12]ALAT!$BO$647</definedName>
    <definedName name="___________MDE33">[12]ALAT!$BO$667</definedName>
    <definedName name="___________MDE34">[12]ALAT!$BO$698</definedName>
    <definedName name="___________MDE35">'[6]Peralatan (2)'!$R$27</definedName>
    <definedName name="___________ME01">[12]ALAT!$BO$26</definedName>
    <definedName name="___________ME02">[12]ALAT!$BO$46</definedName>
    <definedName name="___________ME03">[12]ALAT!$BO$66</definedName>
    <definedName name="___________ME04">[12]ALAT!$BO$86</definedName>
    <definedName name="___________ME05">[12]ALAT!$BO$106</definedName>
    <definedName name="___________ME06">[12]ALAT!$BO$126</definedName>
    <definedName name="___________ME07">[12]ALAT!$BO$146</definedName>
    <definedName name="___________ME08">[12]ALAT!$BO$166</definedName>
    <definedName name="___________ME09">[12]ALAT!$BO$186</definedName>
    <definedName name="___________ME10">[12]ALAT!$BO$206</definedName>
    <definedName name="___________ME11">[12]ALAT!$BO$226</definedName>
    <definedName name="___________ME12">[12]ALAT!$BO$246</definedName>
    <definedName name="___________ME13">[12]ALAT!$BO$266</definedName>
    <definedName name="___________ME14">[12]ALAT!$BO$286</definedName>
    <definedName name="___________ME15">[12]ALAT!$BO$306</definedName>
    <definedName name="___________ME16">[12]ALAT!$BO$326</definedName>
    <definedName name="___________ME17">[12]ALAT!$BO$346</definedName>
    <definedName name="___________ME18">[12]ALAT!$BO$366</definedName>
    <definedName name="___________ME19">[12]ALAT!$BO$386</definedName>
    <definedName name="___________ME20">[12]ALAT!$BO$406</definedName>
    <definedName name="___________ME21">[12]ALAT!$BO$426</definedName>
    <definedName name="___________ME22">[12]ALAT!$BO$446</definedName>
    <definedName name="___________ME23">[12]ALAT!$BO$466</definedName>
    <definedName name="___________ME24">[12]ALAT!$BO$486</definedName>
    <definedName name="___________ME25">[12]ALAT!$BO$506</definedName>
    <definedName name="___________ME26">[12]ALAT!$BO$526</definedName>
    <definedName name="___________ME27">[12]ALAT!$BO$546</definedName>
    <definedName name="___________ME28">[12]ALAT!$BO$566</definedName>
    <definedName name="___________ME29">[12]ALAT!$BO$586</definedName>
    <definedName name="___________ME30">[12]ALAT!$BO$606</definedName>
    <definedName name="___________ME31">[12]ALAT!$BO$626</definedName>
    <definedName name="___________ME32">[12]ALAT!$BO$646</definedName>
    <definedName name="___________ME33">[12]ALAT!$BO$666</definedName>
    <definedName name="___________ME34">[12]ALAT!$BO$697</definedName>
    <definedName name="___________ME35">'[6]Peralatan (2)'!$R$26</definedName>
    <definedName name="___________NCL100">#REF!</definedName>
    <definedName name="___________NCL200">#REF!</definedName>
    <definedName name="___________NCL250">#REF!</definedName>
    <definedName name="___________nin190">#REF!</definedName>
    <definedName name="___________sc1">#REF!</definedName>
    <definedName name="___________SC2">#REF!</definedName>
    <definedName name="___________sc3">#REF!</definedName>
    <definedName name="___________SN3">#REF!</definedName>
    <definedName name="___________th100">'[10]dongia _2_'!#REF!</definedName>
    <definedName name="___________TH160">'[10]dongia _2_'!#REF!</definedName>
    <definedName name="___________TL1">#REF!</definedName>
    <definedName name="___________TL2">#REF!</definedName>
    <definedName name="___________TL3">#REF!</definedName>
    <definedName name="___________TLA120">#REF!</definedName>
    <definedName name="___________TLA35">#REF!</definedName>
    <definedName name="___________TLA50">#REF!</definedName>
    <definedName name="___________TLA70">#REF!</definedName>
    <definedName name="___________TLA95">#REF!</definedName>
    <definedName name="___________TR250">'[10]dongia _2_'!#REF!</definedName>
    <definedName name="___________tr375">[10]giathanh1!#REF!</definedName>
    <definedName name="___________VL100">#REF!</definedName>
    <definedName name="___________VL200">#REF!</definedName>
    <definedName name="___________VL250">#REF!</definedName>
    <definedName name="__________abb91">[7]chitimc!#REF!</definedName>
    <definedName name="__________CT250">'[7]dongia _2_'!#REF!</definedName>
    <definedName name="__________ddn400">#REF!</definedName>
    <definedName name="__________ddn600">#REF!</definedName>
    <definedName name="__________dgt100">'[7]dongia _2_'!#REF!</definedName>
    <definedName name="__________DIV10">'[4]daftar kuantitas'!#REF!</definedName>
    <definedName name="__________DIV11">'[4]daftar kuantitas'!#REF!</definedName>
    <definedName name="__________DIV8">'[4]daftar kuantitas'!#REF!</definedName>
    <definedName name="__________DIV9">'[4]daftar kuantitas'!#REF!</definedName>
    <definedName name="__________GID1">[7]LKVL_CK_HT_GD1!$A$4</definedName>
    <definedName name="__________HAL7">'[4]daftar kuantitas'!#REF!</definedName>
    <definedName name="__________MAC12">#REF!</definedName>
    <definedName name="__________MAC46">#REF!</definedName>
    <definedName name="__________MDE01">[12]ALAT!$BO$27</definedName>
    <definedName name="__________MDE02">[12]ALAT!$BO$47</definedName>
    <definedName name="__________MDE03">[12]ALAT!$BO$67</definedName>
    <definedName name="__________MDE04">[12]ALAT!$BO$87</definedName>
    <definedName name="__________MDE05">[12]ALAT!$BO$107</definedName>
    <definedName name="__________MDE06">[12]ALAT!$BO$127</definedName>
    <definedName name="__________MDE07">[12]ALAT!$BO$147</definedName>
    <definedName name="__________MDE08">[12]ALAT!$BO$167</definedName>
    <definedName name="__________MDE09">[12]ALAT!$BO$187</definedName>
    <definedName name="__________MDE10">[12]ALAT!$BO$207</definedName>
    <definedName name="__________MDE11">[12]ALAT!$BO$227</definedName>
    <definedName name="__________MDE12">[12]ALAT!$BO$247</definedName>
    <definedName name="__________MDE13">[12]ALAT!$BO$267</definedName>
    <definedName name="__________MDE14">[12]ALAT!$BO$287</definedName>
    <definedName name="__________MDE15">[12]ALAT!$BO$307</definedName>
    <definedName name="__________MDE16">[12]ALAT!$BO$327</definedName>
    <definedName name="__________MDE17">[12]ALAT!$BO$347</definedName>
    <definedName name="__________MDE18">[12]ALAT!$BO$367</definedName>
    <definedName name="__________MDE19">[12]ALAT!$BO$387</definedName>
    <definedName name="__________MDE20">[12]ALAT!$BO$407</definedName>
    <definedName name="__________MDE21">[12]ALAT!$BO$427</definedName>
    <definedName name="__________MDE22">[12]ALAT!$BO$447</definedName>
    <definedName name="__________MDE23">[12]ALAT!$BO$467</definedName>
    <definedName name="__________MDE24">[12]ALAT!$BO$487</definedName>
    <definedName name="__________MDE25">[12]ALAT!$BO$507</definedName>
    <definedName name="__________MDE26">[12]ALAT!$BO$527</definedName>
    <definedName name="__________MDE27">[12]ALAT!$BO$547</definedName>
    <definedName name="__________MDE28">[12]ALAT!$BO$567</definedName>
    <definedName name="__________MDE29">[12]ALAT!$BO$587</definedName>
    <definedName name="__________MDE30">[12]ALAT!$BO$607</definedName>
    <definedName name="__________MDE31">[12]ALAT!$BO$627</definedName>
    <definedName name="__________MDE32">[12]ALAT!$BO$647</definedName>
    <definedName name="__________MDE33">[12]ALAT!$BO$667</definedName>
    <definedName name="__________MDE34">[12]ALAT!$BO$698</definedName>
    <definedName name="__________MDE35">'[6]Peralatan (2)'!$R$27</definedName>
    <definedName name="__________ME01">[12]ALAT!$BO$26</definedName>
    <definedName name="__________ME02">[12]ALAT!$BO$46</definedName>
    <definedName name="__________ME03">[12]ALAT!$BO$66</definedName>
    <definedName name="__________ME04">[12]ALAT!$BO$86</definedName>
    <definedName name="__________ME05">[12]ALAT!$BO$106</definedName>
    <definedName name="__________ME06">[12]ALAT!$BO$126</definedName>
    <definedName name="__________ME07">[12]ALAT!$BO$146</definedName>
    <definedName name="__________ME08">[12]ALAT!$BO$166</definedName>
    <definedName name="__________ME09">[12]ALAT!$BO$186</definedName>
    <definedName name="__________ME10">[12]ALAT!$BO$206</definedName>
    <definedName name="__________ME11">[12]ALAT!$BO$226</definedName>
    <definedName name="__________ME12">[12]ALAT!$BO$246</definedName>
    <definedName name="__________ME13">[12]ALAT!$BO$266</definedName>
    <definedName name="__________ME14">[12]ALAT!$BO$286</definedName>
    <definedName name="__________ME15">[12]ALAT!$BO$306</definedName>
    <definedName name="__________ME16">[12]ALAT!$BO$326</definedName>
    <definedName name="__________ME17">[12]ALAT!$BO$346</definedName>
    <definedName name="__________ME18">[12]ALAT!$BO$366</definedName>
    <definedName name="__________ME19">[12]ALAT!$BO$386</definedName>
    <definedName name="__________ME20">[12]ALAT!$BO$406</definedName>
    <definedName name="__________ME21">[12]ALAT!$BO$426</definedName>
    <definedName name="__________ME22">[12]ALAT!$BO$446</definedName>
    <definedName name="__________ME23">[12]ALAT!$BO$466</definedName>
    <definedName name="__________ME24">[12]ALAT!$BO$486</definedName>
    <definedName name="__________ME25">[12]ALAT!$BO$506</definedName>
    <definedName name="__________ME26">[12]ALAT!$BO$526</definedName>
    <definedName name="__________ME27">[12]ALAT!$BO$546</definedName>
    <definedName name="__________ME28">[12]ALAT!$BO$566</definedName>
    <definedName name="__________ME29">[12]ALAT!$BO$586</definedName>
    <definedName name="__________ME30">[12]ALAT!$BO$606</definedName>
    <definedName name="__________ME31">[12]ALAT!$BO$626</definedName>
    <definedName name="__________ME32">[12]ALAT!$BO$646</definedName>
    <definedName name="__________ME33">[12]ALAT!$BO$666</definedName>
    <definedName name="__________ME34">[12]ALAT!$BO$697</definedName>
    <definedName name="__________ME35">'[6]Peralatan (2)'!$R$26</definedName>
    <definedName name="__________NCL100">#REF!</definedName>
    <definedName name="__________NCL200">#REF!</definedName>
    <definedName name="__________NCL250">#REF!</definedName>
    <definedName name="__________nin190">#REF!</definedName>
    <definedName name="__________sc1">#REF!</definedName>
    <definedName name="__________SC2">#REF!</definedName>
    <definedName name="__________sc3">#REF!</definedName>
    <definedName name="__________SN3">#REF!</definedName>
    <definedName name="__________th100">'[10]dongia _2_'!#REF!</definedName>
    <definedName name="__________TH160">'[10]dongia _2_'!#REF!</definedName>
    <definedName name="__________TL1">#REF!</definedName>
    <definedName name="__________TL2">#REF!</definedName>
    <definedName name="__________TL3">#REF!</definedName>
    <definedName name="__________TLA120">#REF!</definedName>
    <definedName name="__________TLA35">#REF!</definedName>
    <definedName name="__________TLA50">#REF!</definedName>
    <definedName name="__________TLA70">#REF!</definedName>
    <definedName name="__________TLA95">#REF!</definedName>
    <definedName name="__________TR250">'[10]dongia _2_'!#REF!</definedName>
    <definedName name="__________tr375">[10]giathanh1!#REF!</definedName>
    <definedName name="__________VL100">#REF!</definedName>
    <definedName name="__________VL200">#REF!</definedName>
    <definedName name="__________VL250">#REF!</definedName>
    <definedName name="_________abb91">[7]chitimc!#REF!</definedName>
    <definedName name="_________CT250">'[7]dongia _2_'!#REF!</definedName>
    <definedName name="_________ddn400">#REF!</definedName>
    <definedName name="_________ddn600">#REF!</definedName>
    <definedName name="_________dgt100">'[7]dongia _2_'!#REF!</definedName>
    <definedName name="_________DIV10">'[4]daftar kuantitas'!#REF!</definedName>
    <definedName name="_________DIV11">'[13]Kwt&amp;hrg'!#REF!</definedName>
    <definedName name="_________DIV8">'[4]daftar kuantitas'!#REF!</definedName>
    <definedName name="_________DIV9">'[4]daftar kuantitas'!#REF!</definedName>
    <definedName name="_________GID1">[7]LKVL_CK_HT_GD1!$A$4</definedName>
    <definedName name="_________HAL7">'[4]daftar kuantitas'!#REF!</definedName>
    <definedName name="_________MAC12">#REF!</definedName>
    <definedName name="_________MAC46">#REF!</definedName>
    <definedName name="_________MDE01">[12]ALAT!$BO$27</definedName>
    <definedName name="_________MDE02">[12]ALAT!$BO$47</definedName>
    <definedName name="_________MDE03">[12]ALAT!$BO$67</definedName>
    <definedName name="_________MDE04">[12]ALAT!$BO$87</definedName>
    <definedName name="_________MDE05">[12]ALAT!$BO$107</definedName>
    <definedName name="_________MDE06">[12]ALAT!$BO$127</definedName>
    <definedName name="_________MDE07">[12]ALAT!$BO$147</definedName>
    <definedName name="_________MDE08">[12]ALAT!$BO$167</definedName>
    <definedName name="_________MDE09">[12]ALAT!$BO$187</definedName>
    <definedName name="_________MDE10">[12]ALAT!$BO$207</definedName>
    <definedName name="_________MDE11">[12]ALAT!$BO$227</definedName>
    <definedName name="_________MDE12">[12]ALAT!$BO$247</definedName>
    <definedName name="_________MDE13">[12]ALAT!$BO$267</definedName>
    <definedName name="_________MDE14">[12]ALAT!$BO$287</definedName>
    <definedName name="_________MDE15">[12]ALAT!$BO$307</definedName>
    <definedName name="_________MDE16">[12]ALAT!$BO$327</definedName>
    <definedName name="_________MDE17">[12]ALAT!$BO$347</definedName>
    <definedName name="_________MDE18">[12]ALAT!$BO$367</definedName>
    <definedName name="_________MDE19">[12]ALAT!$BO$387</definedName>
    <definedName name="_________MDE20">[12]ALAT!$BO$407</definedName>
    <definedName name="_________MDE21">[12]ALAT!$BO$427</definedName>
    <definedName name="_________MDE22">[12]ALAT!$BO$447</definedName>
    <definedName name="_________MDE23">[12]ALAT!$BO$467</definedName>
    <definedName name="_________MDE24">[12]ALAT!$BO$487</definedName>
    <definedName name="_________MDE25">[12]ALAT!$BO$507</definedName>
    <definedName name="_________MDE26">[12]ALAT!$BO$527</definedName>
    <definedName name="_________MDE27">[12]ALAT!$BO$547</definedName>
    <definedName name="_________MDE28">[12]ALAT!$BO$567</definedName>
    <definedName name="_________MDE29">[12]ALAT!$BO$587</definedName>
    <definedName name="_________MDE30">[12]ALAT!$BO$607</definedName>
    <definedName name="_________MDE31">[12]ALAT!$BO$627</definedName>
    <definedName name="_________MDE32">[12]ALAT!$BO$647</definedName>
    <definedName name="_________MDE33">[12]ALAT!$BO$667</definedName>
    <definedName name="_________MDE34">[12]ALAT!$BO$698</definedName>
    <definedName name="_________MDE35">'[6]Peralatan (2)'!$R$27</definedName>
    <definedName name="_________ME01">[12]ALAT!$BO$26</definedName>
    <definedName name="_________ME02">[12]ALAT!$BO$46</definedName>
    <definedName name="_________ME03">[12]ALAT!$BO$66</definedName>
    <definedName name="_________ME04">[12]ALAT!$BO$86</definedName>
    <definedName name="_________ME05">[12]ALAT!$BO$106</definedName>
    <definedName name="_________ME06">[12]ALAT!$BO$126</definedName>
    <definedName name="_________ME07">[12]ALAT!$BO$146</definedName>
    <definedName name="_________ME08">[12]ALAT!$BO$166</definedName>
    <definedName name="_________ME09">[12]ALAT!$BO$186</definedName>
    <definedName name="_________ME10">[12]ALAT!$BO$206</definedName>
    <definedName name="_________ME11">[12]ALAT!$BO$226</definedName>
    <definedName name="_________ME12">[12]ALAT!$BO$246</definedName>
    <definedName name="_________ME13">[12]ALAT!$BO$266</definedName>
    <definedName name="_________ME14">[12]ALAT!$BO$286</definedName>
    <definedName name="_________ME15">[12]ALAT!$BO$306</definedName>
    <definedName name="_________ME16">[12]ALAT!$BO$326</definedName>
    <definedName name="_________ME17">[12]ALAT!$BO$346</definedName>
    <definedName name="_________ME18">[12]ALAT!$BO$366</definedName>
    <definedName name="_________ME19">[12]ALAT!$BO$386</definedName>
    <definedName name="_________ME20">[12]ALAT!$BO$406</definedName>
    <definedName name="_________ME21">[12]ALAT!$BO$426</definedName>
    <definedName name="_________ME22">[12]ALAT!$BO$446</definedName>
    <definedName name="_________ME23">[12]ALAT!$BO$466</definedName>
    <definedName name="_________ME24">[12]ALAT!$BO$486</definedName>
    <definedName name="_________ME25">[12]ALAT!$BO$506</definedName>
    <definedName name="_________ME26">[12]ALAT!$BO$526</definedName>
    <definedName name="_________ME27">[12]ALAT!$BO$546</definedName>
    <definedName name="_________ME28">[12]ALAT!$BO$566</definedName>
    <definedName name="_________ME29">[12]ALAT!$BO$586</definedName>
    <definedName name="_________ME30">[12]ALAT!$BO$606</definedName>
    <definedName name="_________ME31">[12]ALAT!$BO$626</definedName>
    <definedName name="_________ME32">[12]ALAT!$BO$646</definedName>
    <definedName name="_________ME33">[12]ALAT!$BO$666</definedName>
    <definedName name="_________ME34">[12]ALAT!$BO$697</definedName>
    <definedName name="_________ME35">'[6]Peralatan (2)'!$R$26</definedName>
    <definedName name="_________NCL100">#REF!</definedName>
    <definedName name="_________NCL200">#REF!</definedName>
    <definedName name="_________NCL250">#REF!</definedName>
    <definedName name="_________nin190">#REF!</definedName>
    <definedName name="_________sc1">#REF!</definedName>
    <definedName name="_________SC2">#REF!</definedName>
    <definedName name="_________sc3">#REF!</definedName>
    <definedName name="_________SN3">#REF!</definedName>
    <definedName name="_________th100">'[10]dongia _2_'!#REF!</definedName>
    <definedName name="_________TH160">'[10]dongia _2_'!#REF!</definedName>
    <definedName name="_________TL1">#REF!</definedName>
    <definedName name="_________TL2">#REF!</definedName>
    <definedName name="_________TL3">#REF!</definedName>
    <definedName name="_________TLA120">#REF!</definedName>
    <definedName name="_________TLA35">#REF!</definedName>
    <definedName name="_________TLA50">#REF!</definedName>
    <definedName name="_________TLA70">#REF!</definedName>
    <definedName name="_________TLA95">#REF!</definedName>
    <definedName name="_________TR250">'[10]dongia _2_'!#REF!</definedName>
    <definedName name="_________tr375">[10]giathanh1!#REF!</definedName>
    <definedName name="_________VL100">#REF!</definedName>
    <definedName name="_________VL200">#REF!</definedName>
    <definedName name="_________VL250">#REF!</definedName>
    <definedName name="________abb91">[7]chitimc!#REF!</definedName>
    <definedName name="________CT250">'[7]dongia _2_'!#REF!</definedName>
    <definedName name="________ddn400">#REF!</definedName>
    <definedName name="________ddn600">#REF!</definedName>
    <definedName name="________dgt100">'[7]dongia _2_'!#REF!</definedName>
    <definedName name="________DIV10">'[4]daftar kuantitas'!#REF!</definedName>
    <definedName name="________DIV11">'[4]daftar kuantitas'!#REF!</definedName>
    <definedName name="________DIV8">'[4]daftar kuantitas'!#REF!</definedName>
    <definedName name="________DIV9">'[4]daftar kuantitas'!#REF!</definedName>
    <definedName name="________GID1">[7]LKVL_CK_HT_GD1!$A$4</definedName>
    <definedName name="________HAL7">'[4]daftar kuantitas'!#REF!</definedName>
    <definedName name="________MAC12">#REF!</definedName>
    <definedName name="________MAC46">#REF!</definedName>
    <definedName name="________MDE01">[12]ALAT!$BO$27</definedName>
    <definedName name="________MDE02">[12]ALAT!$BO$47</definedName>
    <definedName name="________MDE03">[12]ALAT!$BO$67</definedName>
    <definedName name="________MDE04">[12]ALAT!$BO$87</definedName>
    <definedName name="________MDE05">[12]ALAT!$BO$107</definedName>
    <definedName name="________MDE06">[12]ALAT!$BO$127</definedName>
    <definedName name="________MDE07">[12]ALAT!$BO$147</definedName>
    <definedName name="________MDE08">[12]ALAT!$BO$167</definedName>
    <definedName name="________MDE09">[12]ALAT!$BO$187</definedName>
    <definedName name="________MDE10">[12]ALAT!$BO$207</definedName>
    <definedName name="________MDE11">[12]ALAT!$BO$227</definedName>
    <definedName name="________MDE12">[12]ALAT!$BO$247</definedName>
    <definedName name="________MDE13">[12]ALAT!$BO$267</definedName>
    <definedName name="________MDE14">[12]ALAT!$BO$287</definedName>
    <definedName name="________MDE15">[12]ALAT!$BO$307</definedName>
    <definedName name="________MDE16">[12]ALAT!$BO$327</definedName>
    <definedName name="________MDE17">[12]ALAT!$BO$347</definedName>
    <definedName name="________MDE18">[12]ALAT!$BO$367</definedName>
    <definedName name="________MDE19">[12]ALAT!$BO$387</definedName>
    <definedName name="________MDE20">[12]ALAT!$BO$407</definedName>
    <definedName name="________MDE21">[12]ALAT!$BO$427</definedName>
    <definedName name="________MDE22">[12]ALAT!$BO$447</definedName>
    <definedName name="________MDE23">[12]ALAT!$BO$467</definedName>
    <definedName name="________MDE24">[12]ALAT!$BO$487</definedName>
    <definedName name="________MDE25">[12]ALAT!$BO$507</definedName>
    <definedName name="________MDE26">[12]ALAT!$BO$527</definedName>
    <definedName name="________MDE27">[12]ALAT!$BO$547</definedName>
    <definedName name="________MDE28">[12]ALAT!$BO$567</definedName>
    <definedName name="________MDE29">[12]ALAT!$BO$587</definedName>
    <definedName name="________MDE30">[12]ALAT!$BO$607</definedName>
    <definedName name="________MDE31">[12]ALAT!$BO$627</definedName>
    <definedName name="________MDE32">[12]ALAT!$BO$647</definedName>
    <definedName name="________MDE33">[12]ALAT!$BO$667</definedName>
    <definedName name="________MDE34">[12]ALAT!$BO$698</definedName>
    <definedName name="________MDE35">'[6]Peralatan (2)'!$R$27</definedName>
    <definedName name="________ME01">[12]ALAT!$BO$26</definedName>
    <definedName name="________ME02">[12]ALAT!$BO$46</definedName>
    <definedName name="________ME03">[12]ALAT!$BO$66</definedName>
    <definedName name="________ME04">[12]ALAT!$BO$86</definedName>
    <definedName name="________ME05">[12]ALAT!$BO$106</definedName>
    <definedName name="________ME06">[12]ALAT!$BO$126</definedName>
    <definedName name="________ME07">[12]ALAT!$BO$146</definedName>
    <definedName name="________ME08">[12]ALAT!$BO$166</definedName>
    <definedName name="________ME09">[12]ALAT!$BO$186</definedName>
    <definedName name="________ME10">[12]ALAT!$BO$206</definedName>
    <definedName name="________ME11">[12]ALAT!$BO$226</definedName>
    <definedName name="________ME12">[12]ALAT!$BO$246</definedName>
    <definedName name="________ME13">[12]ALAT!$BO$266</definedName>
    <definedName name="________ME14">[12]ALAT!$BO$286</definedName>
    <definedName name="________ME15">[12]ALAT!$BO$306</definedName>
    <definedName name="________ME16">[12]ALAT!$BO$326</definedName>
    <definedName name="________ME17">[12]ALAT!$BO$346</definedName>
    <definedName name="________ME18">[12]ALAT!$BO$366</definedName>
    <definedName name="________ME19">[12]ALAT!$BO$386</definedName>
    <definedName name="________ME20">[12]ALAT!$BO$406</definedName>
    <definedName name="________ME21">[12]ALAT!$BO$426</definedName>
    <definedName name="________ME22">[12]ALAT!$BO$446</definedName>
    <definedName name="________ME23">[12]ALAT!$BO$466</definedName>
    <definedName name="________ME24">[12]ALAT!$BO$486</definedName>
    <definedName name="________ME25">[12]ALAT!$BO$506</definedName>
    <definedName name="________ME26">[12]ALAT!$BO$526</definedName>
    <definedName name="________ME27">[12]ALAT!$BO$546</definedName>
    <definedName name="________ME28">[12]ALAT!$BO$566</definedName>
    <definedName name="________ME29">[12]ALAT!$BO$586</definedName>
    <definedName name="________ME30">[12]ALAT!$BO$606</definedName>
    <definedName name="________ME31">[12]ALAT!$BO$626</definedName>
    <definedName name="________ME32">[12]ALAT!$BO$646</definedName>
    <definedName name="________ME33">[12]ALAT!$BO$666</definedName>
    <definedName name="________ME34">[12]ALAT!$BO$697</definedName>
    <definedName name="________ME35">'[6]Peralatan (2)'!$R$26</definedName>
    <definedName name="________NCL100">#REF!</definedName>
    <definedName name="________NCL200">#REF!</definedName>
    <definedName name="________NCL250">#REF!</definedName>
    <definedName name="________nin190">#REF!</definedName>
    <definedName name="________sc1">#REF!</definedName>
    <definedName name="________SC2">#REF!</definedName>
    <definedName name="________sc3">#REF!</definedName>
    <definedName name="________SN3">#REF!</definedName>
    <definedName name="________th100">'[10]dongia _2_'!#REF!</definedName>
    <definedName name="________TH160">'[10]dongia _2_'!#REF!</definedName>
    <definedName name="________TL1">#REF!</definedName>
    <definedName name="________TL2">#REF!</definedName>
    <definedName name="________TL3">#REF!</definedName>
    <definedName name="________TLA120">#REF!</definedName>
    <definedName name="________TLA35">#REF!</definedName>
    <definedName name="________TLA50">#REF!</definedName>
    <definedName name="________TLA70">#REF!</definedName>
    <definedName name="________TLA95">#REF!</definedName>
    <definedName name="________TR250">'[10]dongia _2_'!#REF!</definedName>
    <definedName name="________tr375">[10]giathanh1!#REF!</definedName>
    <definedName name="________VL100">#REF!</definedName>
    <definedName name="________VL200">#REF!</definedName>
    <definedName name="________VL250">#REF!</definedName>
    <definedName name="_______abb91">[7]chitimc!#REF!</definedName>
    <definedName name="_______CT250">'[7]dongia _2_'!#REF!</definedName>
    <definedName name="_______ddn400">#REF!</definedName>
    <definedName name="_______ddn600">#REF!</definedName>
    <definedName name="_______dgt100">'[7]dongia _2_'!#REF!</definedName>
    <definedName name="_______DIV10">'[4]daftar kuantitas'!#REF!</definedName>
    <definedName name="_______DIV11">'[4]daftar kuantitas'!#REF!</definedName>
    <definedName name="_______DIV8">'[4]daftar kuantitas'!#REF!</definedName>
    <definedName name="_______DIV9">'[4]daftar kuantitas'!#REF!</definedName>
    <definedName name="_______GID1">[7]LKVL_CK_HT_GD1!$A$4</definedName>
    <definedName name="_______HAL7">'[4]daftar kuantitas'!#REF!</definedName>
    <definedName name="_______MAC12">#REF!</definedName>
    <definedName name="_______MAC46">#REF!</definedName>
    <definedName name="_______MDE01">[12]ALAT!$BO$27</definedName>
    <definedName name="_______MDE02">[12]ALAT!$BO$47</definedName>
    <definedName name="_______MDE03">[12]ALAT!$BO$67</definedName>
    <definedName name="_______MDE04">[12]ALAT!$BO$87</definedName>
    <definedName name="_______MDE05">[12]ALAT!$BO$107</definedName>
    <definedName name="_______MDE06">[12]ALAT!$BO$127</definedName>
    <definedName name="_______MDE07">[12]ALAT!$BO$147</definedName>
    <definedName name="_______MDE08">[12]ALAT!$BO$167</definedName>
    <definedName name="_______MDE09">[12]ALAT!$BO$187</definedName>
    <definedName name="_______MDE10">[12]ALAT!$BO$207</definedName>
    <definedName name="_______MDE11">[12]ALAT!$BO$227</definedName>
    <definedName name="_______MDE12">[12]ALAT!$BO$247</definedName>
    <definedName name="_______MDE13">[12]ALAT!$BO$267</definedName>
    <definedName name="_______MDE14">[12]ALAT!$BO$287</definedName>
    <definedName name="_______MDE15">[12]ALAT!$BO$307</definedName>
    <definedName name="_______MDE16">[12]ALAT!$BO$327</definedName>
    <definedName name="_______MDE17">[12]ALAT!$BO$347</definedName>
    <definedName name="_______MDE18">[12]ALAT!$BO$367</definedName>
    <definedName name="_______MDE19">[12]ALAT!$BO$387</definedName>
    <definedName name="_______MDE20">[12]ALAT!$BO$407</definedName>
    <definedName name="_______MDE21">[12]ALAT!$BO$427</definedName>
    <definedName name="_______MDE22">[12]ALAT!$BO$447</definedName>
    <definedName name="_______MDE23">[12]ALAT!$BO$467</definedName>
    <definedName name="_______MDE24">[12]ALAT!$BO$487</definedName>
    <definedName name="_______MDE25">[12]ALAT!$BO$507</definedName>
    <definedName name="_______MDE26">[12]ALAT!$BO$527</definedName>
    <definedName name="_______MDE27">[12]ALAT!$BO$547</definedName>
    <definedName name="_______MDE28">[12]ALAT!$BO$567</definedName>
    <definedName name="_______MDE29">[12]ALAT!$BO$587</definedName>
    <definedName name="_______MDE30">[12]ALAT!$BO$607</definedName>
    <definedName name="_______MDE31">[12]ALAT!$BO$627</definedName>
    <definedName name="_______MDE32">[12]ALAT!$BO$647</definedName>
    <definedName name="_______MDE33">[12]ALAT!$BO$667</definedName>
    <definedName name="_______MDE34">[12]ALAT!$BO$698</definedName>
    <definedName name="_______MDE35">'[6]Peralatan (2)'!$R$27</definedName>
    <definedName name="_______ME01">[12]ALAT!$BO$26</definedName>
    <definedName name="_______ME02">[12]ALAT!$BO$46</definedName>
    <definedName name="_______ME03">[12]ALAT!$BO$66</definedName>
    <definedName name="_______ME04">[12]ALAT!$BO$86</definedName>
    <definedName name="_______ME05">[12]ALAT!$BO$106</definedName>
    <definedName name="_______ME06">[12]ALAT!$BO$126</definedName>
    <definedName name="_______ME07">[12]ALAT!$BO$146</definedName>
    <definedName name="_______ME08">[12]ALAT!$BO$166</definedName>
    <definedName name="_______ME09">[12]ALAT!$BO$186</definedName>
    <definedName name="_______ME10">[12]ALAT!$BO$206</definedName>
    <definedName name="_______ME11">[12]ALAT!$BO$226</definedName>
    <definedName name="_______ME12">[12]ALAT!$BO$246</definedName>
    <definedName name="_______ME13">[12]ALAT!$BO$266</definedName>
    <definedName name="_______ME14">[12]ALAT!$BO$286</definedName>
    <definedName name="_______ME15">[12]ALAT!$BO$306</definedName>
    <definedName name="_______ME16">[12]ALAT!$BO$326</definedName>
    <definedName name="_______ME17">[12]ALAT!$BO$346</definedName>
    <definedName name="_______ME18">[12]ALAT!$BO$366</definedName>
    <definedName name="_______ME19">[12]ALAT!$BO$386</definedName>
    <definedName name="_______ME20">[12]ALAT!$BO$406</definedName>
    <definedName name="_______ME21">[12]ALAT!$BO$426</definedName>
    <definedName name="_______ME22">[12]ALAT!$BO$446</definedName>
    <definedName name="_______ME23">[12]ALAT!$BO$466</definedName>
    <definedName name="_______ME24">[12]ALAT!$BO$486</definedName>
    <definedName name="_______ME25">[12]ALAT!$BO$506</definedName>
    <definedName name="_______ME26">[12]ALAT!$BO$526</definedName>
    <definedName name="_______ME27">[12]ALAT!$BO$546</definedName>
    <definedName name="_______ME28">[12]ALAT!$BO$566</definedName>
    <definedName name="_______ME29">[12]ALAT!$BO$586</definedName>
    <definedName name="_______ME30">[12]ALAT!$BO$606</definedName>
    <definedName name="_______ME31">[12]ALAT!$BO$626</definedName>
    <definedName name="_______ME32">[12]ALAT!$BO$646</definedName>
    <definedName name="_______ME33">[12]ALAT!$BO$666</definedName>
    <definedName name="_______ME34">[12]ALAT!$BO$697</definedName>
    <definedName name="_______ME35">'[6]Peralatan (2)'!$R$26</definedName>
    <definedName name="_______NCL100">#REF!</definedName>
    <definedName name="_______NCL200">#REF!</definedName>
    <definedName name="_______NCL250">#REF!</definedName>
    <definedName name="_______nin190">#REF!</definedName>
    <definedName name="_______sc1">#REF!</definedName>
    <definedName name="_______SC2">#REF!</definedName>
    <definedName name="_______sc3">#REF!</definedName>
    <definedName name="_______SN3">#REF!</definedName>
    <definedName name="_______th100">'[10]dongia _2_'!#REF!</definedName>
    <definedName name="_______TH160">'[10]dongia _2_'!#REF!</definedName>
    <definedName name="_______TL1">#REF!</definedName>
    <definedName name="_______TL2">#REF!</definedName>
    <definedName name="_______TL3">#REF!</definedName>
    <definedName name="_______TLA120">#REF!</definedName>
    <definedName name="_______TLA35">#REF!</definedName>
    <definedName name="_______TLA50">#REF!</definedName>
    <definedName name="_______TLA70">#REF!</definedName>
    <definedName name="_______TLA95">#REF!</definedName>
    <definedName name="_______TR250">'[10]dongia _2_'!#REF!</definedName>
    <definedName name="_______tr375">[10]giathanh1!#REF!</definedName>
    <definedName name="_______VL100">#REF!</definedName>
    <definedName name="_______VL200">#REF!</definedName>
    <definedName name="_______VL250">#REF!</definedName>
    <definedName name="______abb91">[7]chitimc!#REF!</definedName>
    <definedName name="______CT250">'[7]dongia _2_'!#REF!</definedName>
    <definedName name="______ddn400">#REF!</definedName>
    <definedName name="______ddn600">#REF!</definedName>
    <definedName name="______dgt100">'[7]dongia _2_'!#REF!</definedName>
    <definedName name="______DIV10">'[4]daftar kuantitas'!#REF!</definedName>
    <definedName name="______DIV11">'[4]daftar kuantitas'!#REF!</definedName>
    <definedName name="______DIV8">'[4]daftar kuantitas'!#REF!</definedName>
    <definedName name="______DIV9">'[4]daftar kuantitas'!#REF!</definedName>
    <definedName name="______GID1">[7]LKVL_CK_HT_GD1!$A$4</definedName>
    <definedName name="______HAL7">'[4]daftar kuantitas'!#REF!</definedName>
    <definedName name="______MAC12">#REF!</definedName>
    <definedName name="______MAC46">#REF!</definedName>
    <definedName name="______MDE01">[12]ALAT!$BO$27</definedName>
    <definedName name="______MDE02">[12]ALAT!$BO$47</definedName>
    <definedName name="______MDE03">[12]ALAT!$BO$67</definedName>
    <definedName name="______MDE04">[12]ALAT!$BO$87</definedName>
    <definedName name="______MDE05">[12]ALAT!$BO$107</definedName>
    <definedName name="______MDE06">[12]ALAT!$BO$127</definedName>
    <definedName name="______MDE07">[12]ALAT!$BO$147</definedName>
    <definedName name="______MDE08">[12]ALAT!$BO$167</definedName>
    <definedName name="______MDE09">[12]ALAT!$BO$187</definedName>
    <definedName name="______MDE10">[12]ALAT!$BO$207</definedName>
    <definedName name="______MDE11">[12]ALAT!$BO$227</definedName>
    <definedName name="______MDE12">[12]ALAT!$BO$247</definedName>
    <definedName name="______MDE13">[12]ALAT!$BO$267</definedName>
    <definedName name="______MDE14">[12]ALAT!$BO$287</definedName>
    <definedName name="______MDE15">[12]ALAT!$BO$307</definedName>
    <definedName name="______MDE16">[12]ALAT!$BO$327</definedName>
    <definedName name="______MDE17">[12]ALAT!$BO$347</definedName>
    <definedName name="______MDE18">[12]ALAT!$BO$367</definedName>
    <definedName name="______MDE19">[12]ALAT!$BO$387</definedName>
    <definedName name="______MDE20">[12]ALAT!$BO$407</definedName>
    <definedName name="______MDE21">[12]ALAT!$BO$427</definedName>
    <definedName name="______MDE22">[12]ALAT!$BO$447</definedName>
    <definedName name="______MDE23">[12]ALAT!$BO$467</definedName>
    <definedName name="______MDE24">[12]ALAT!$BO$487</definedName>
    <definedName name="______MDE25">[12]ALAT!$BO$507</definedName>
    <definedName name="______MDE26">[12]ALAT!$BO$527</definedName>
    <definedName name="______MDE27">[12]ALAT!$BO$547</definedName>
    <definedName name="______MDE28">[12]ALAT!$BO$567</definedName>
    <definedName name="______MDE29">[12]ALAT!$BO$587</definedName>
    <definedName name="______MDE30">[12]ALAT!$BO$607</definedName>
    <definedName name="______MDE31">[12]ALAT!$BO$627</definedName>
    <definedName name="______MDE32">[12]ALAT!$BO$647</definedName>
    <definedName name="______MDE33">[12]ALAT!$BO$667</definedName>
    <definedName name="______MDE34">[12]ALAT!$BO$698</definedName>
    <definedName name="______MDE35">'[6]Peralatan (2)'!$R$27</definedName>
    <definedName name="______ME01">[12]ALAT!$BO$26</definedName>
    <definedName name="______ME02">[12]ALAT!$BO$46</definedName>
    <definedName name="______ME03">[12]ALAT!$BO$66</definedName>
    <definedName name="______ME04">[12]ALAT!$BO$86</definedName>
    <definedName name="______ME05">[12]ALAT!$BO$106</definedName>
    <definedName name="______ME06">[12]ALAT!$BO$126</definedName>
    <definedName name="______ME07">[12]ALAT!$BO$146</definedName>
    <definedName name="______ME08">[12]ALAT!$BO$166</definedName>
    <definedName name="______ME09">[12]ALAT!$BO$186</definedName>
    <definedName name="______ME10">[12]ALAT!$BO$206</definedName>
    <definedName name="______ME11">[12]ALAT!$BO$226</definedName>
    <definedName name="______ME12">[12]ALAT!$BO$246</definedName>
    <definedName name="______ME13">[12]ALAT!$BO$266</definedName>
    <definedName name="______ME14">[12]ALAT!$BO$286</definedName>
    <definedName name="______ME15">[12]ALAT!$BO$306</definedName>
    <definedName name="______ME16">[12]ALAT!$BO$326</definedName>
    <definedName name="______ME17">[12]ALAT!$BO$346</definedName>
    <definedName name="______ME18">[12]ALAT!$BO$366</definedName>
    <definedName name="______ME19">[12]ALAT!$BO$386</definedName>
    <definedName name="______ME20">[12]ALAT!$BO$406</definedName>
    <definedName name="______ME21">[12]ALAT!$BO$426</definedName>
    <definedName name="______ME22">[12]ALAT!$BO$446</definedName>
    <definedName name="______ME23">[12]ALAT!$BO$466</definedName>
    <definedName name="______ME24">[12]ALAT!$BO$486</definedName>
    <definedName name="______ME25">[12]ALAT!$BO$506</definedName>
    <definedName name="______ME26">[12]ALAT!$BO$526</definedName>
    <definedName name="______ME27">[12]ALAT!$BO$546</definedName>
    <definedName name="______ME28">[12]ALAT!$BO$566</definedName>
    <definedName name="______ME29">[12]ALAT!$BO$586</definedName>
    <definedName name="______ME30">[12]ALAT!$BO$606</definedName>
    <definedName name="______ME31">[12]ALAT!$BO$626</definedName>
    <definedName name="______ME32">[12]ALAT!$BO$646</definedName>
    <definedName name="______ME33">[12]ALAT!$BO$666</definedName>
    <definedName name="______ME34">[12]ALAT!$BO$697</definedName>
    <definedName name="______ME35">'[6]Peralatan (2)'!$R$26</definedName>
    <definedName name="______NCL100">#REF!</definedName>
    <definedName name="______NCL200">#REF!</definedName>
    <definedName name="______NCL250">#REF!</definedName>
    <definedName name="______nin190">#REF!</definedName>
    <definedName name="______sc1">#REF!</definedName>
    <definedName name="______SC2">#REF!</definedName>
    <definedName name="______sc3">#REF!</definedName>
    <definedName name="______SN3">#REF!</definedName>
    <definedName name="______th100">'[10]dongia _2_'!#REF!</definedName>
    <definedName name="______TH160">'[10]dongia _2_'!#REF!</definedName>
    <definedName name="______TL1">#REF!</definedName>
    <definedName name="______TL2">#REF!</definedName>
    <definedName name="______TL3">#REF!</definedName>
    <definedName name="______TLA120">#REF!</definedName>
    <definedName name="______TLA35">#REF!</definedName>
    <definedName name="______TLA50">#REF!</definedName>
    <definedName name="______TLA70">#REF!</definedName>
    <definedName name="______TLA95">#REF!</definedName>
    <definedName name="______TR250">'[10]dongia _2_'!#REF!</definedName>
    <definedName name="______tr375">[10]giathanh1!#REF!</definedName>
    <definedName name="______VL100">#REF!</definedName>
    <definedName name="______VL200">#REF!</definedName>
    <definedName name="______VL250">#REF!</definedName>
    <definedName name="_____abb91">[7]chitimc!#REF!</definedName>
    <definedName name="_____CT250">'[7]dongia _2_'!#REF!</definedName>
    <definedName name="_____ddn400">#REF!</definedName>
    <definedName name="_____ddn600">#REF!</definedName>
    <definedName name="_____dgt100">'[7]dongia _2_'!#REF!</definedName>
    <definedName name="_____DIV10">'[4]daftar kuantitas'!#REF!</definedName>
    <definedName name="_____DIV11">'[4]daftar kuantitas'!#REF!</definedName>
    <definedName name="_____DIV8">'[4]daftar kuantitas'!#REF!</definedName>
    <definedName name="_____DIV9">'[4]daftar kuantitas'!#REF!</definedName>
    <definedName name="_____GID1">[7]LKVL_CK_HT_GD1!$A$4</definedName>
    <definedName name="_____HAL7">'[4]daftar kuantitas'!#REF!</definedName>
    <definedName name="_____MAC12">#REF!</definedName>
    <definedName name="_____MAC46">#REF!</definedName>
    <definedName name="_____MDE01">[12]ALAT!$BO$27</definedName>
    <definedName name="_____MDE02">[12]ALAT!$BO$47</definedName>
    <definedName name="_____MDE03">[12]ALAT!$BO$67</definedName>
    <definedName name="_____MDE04">[12]ALAT!$BO$87</definedName>
    <definedName name="_____MDE05">[12]ALAT!$BO$107</definedName>
    <definedName name="_____MDE06">[12]ALAT!$BO$127</definedName>
    <definedName name="_____MDE07">[12]ALAT!$BO$147</definedName>
    <definedName name="_____MDE08">[12]ALAT!$BO$167</definedName>
    <definedName name="_____MDE09">[12]ALAT!$BO$187</definedName>
    <definedName name="_____MDE10">[12]ALAT!$BO$207</definedName>
    <definedName name="_____MDE11">[12]ALAT!$BO$227</definedName>
    <definedName name="_____MDE12">[12]ALAT!$BO$247</definedName>
    <definedName name="_____MDE13">[12]ALAT!$BO$267</definedName>
    <definedName name="_____MDE14">[12]ALAT!$BO$287</definedName>
    <definedName name="_____MDE15">[12]ALAT!$BO$307</definedName>
    <definedName name="_____MDE16">[12]ALAT!$BO$327</definedName>
    <definedName name="_____MDE17">[12]ALAT!$BO$347</definedName>
    <definedName name="_____MDE18">[12]ALAT!$BO$367</definedName>
    <definedName name="_____MDE19">[12]ALAT!$BO$387</definedName>
    <definedName name="_____MDE20">[12]ALAT!$BO$407</definedName>
    <definedName name="_____MDE21">[12]ALAT!$BO$427</definedName>
    <definedName name="_____MDE22">[12]ALAT!$BO$447</definedName>
    <definedName name="_____MDE23">[12]ALAT!$BO$467</definedName>
    <definedName name="_____MDE24">[12]ALAT!$BO$487</definedName>
    <definedName name="_____MDE25">[12]ALAT!$BO$507</definedName>
    <definedName name="_____MDE26">[12]ALAT!$BO$527</definedName>
    <definedName name="_____MDE27">[12]ALAT!$BO$547</definedName>
    <definedName name="_____MDE28">[12]ALAT!$BO$567</definedName>
    <definedName name="_____MDE29">[12]ALAT!$BO$587</definedName>
    <definedName name="_____MDE30">[12]ALAT!$BO$607</definedName>
    <definedName name="_____MDE31">[12]ALAT!$BO$627</definedName>
    <definedName name="_____MDE32">[12]ALAT!$BO$647</definedName>
    <definedName name="_____MDE33">[12]ALAT!$BO$667</definedName>
    <definedName name="_____MDE34">[12]ALAT!$BO$698</definedName>
    <definedName name="_____MDE35">'[6]Peralatan (2)'!$R$27</definedName>
    <definedName name="_____ME01">[12]ALAT!$BO$26</definedName>
    <definedName name="_____ME02">[12]ALAT!$BO$46</definedName>
    <definedName name="_____ME03">[12]ALAT!$BO$66</definedName>
    <definedName name="_____ME04">[12]ALAT!$BO$86</definedName>
    <definedName name="_____ME05">[12]ALAT!$BO$106</definedName>
    <definedName name="_____ME06">[12]ALAT!$BO$126</definedName>
    <definedName name="_____ME07">[12]ALAT!$BO$146</definedName>
    <definedName name="_____ME08">[12]ALAT!$BO$166</definedName>
    <definedName name="_____ME09">[12]ALAT!$BO$186</definedName>
    <definedName name="_____ME10">[12]ALAT!$BO$206</definedName>
    <definedName name="_____ME11">[12]ALAT!$BO$226</definedName>
    <definedName name="_____ME12">[12]ALAT!$BO$246</definedName>
    <definedName name="_____ME13">[12]ALAT!$BO$266</definedName>
    <definedName name="_____ME14">[12]ALAT!$BO$286</definedName>
    <definedName name="_____ME15">[12]ALAT!$BO$306</definedName>
    <definedName name="_____ME16">[12]ALAT!$BO$326</definedName>
    <definedName name="_____ME17">[12]ALAT!$BO$346</definedName>
    <definedName name="_____ME18">[12]ALAT!$BO$366</definedName>
    <definedName name="_____ME19">[12]ALAT!$BO$386</definedName>
    <definedName name="_____ME20">[12]ALAT!$BO$406</definedName>
    <definedName name="_____ME21">[12]ALAT!$BO$426</definedName>
    <definedName name="_____ME22">[12]ALAT!$BO$446</definedName>
    <definedName name="_____ME23">[12]ALAT!$BO$466</definedName>
    <definedName name="_____ME24">[12]ALAT!$BO$486</definedName>
    <definedName name="_____ME25">[12]ALAT!$BO$506</definedName>
    <definedName name="_____ME26">[12]ALAT!$BO$526</definedName>
    <definedName name="_____ME27">[12]ALAT!$BO$546</definedName>
    <definedName name="_____ME28">[12]ALAT!$BO$566</definedName>
    <definedName name="_____ME29">[12]ALAT!$BO$586</definedName>
    <definedName name="_____ME30">[12]ALAT!$BO$606</definedName>
    <definedName name="_____ME31">[12]ALAT!$BO$626</definedName>
    <definedName name="_____ME32">[12]ALAT!$BO$646</definedName>
    <definedName name="_____ME33">[12]ALAT!$BO$666</definedName>
    <definedName name="_____ME34">[12]ALAT!$BO$697</definedName>
    <definedName name="_____ME35">'[6]Peralatan (2)'!$R$26</definedName>
    <definedName name="_____NCL100">#REF!</definedName>
    <definedName name="_____NCL200">#REF!</definedName>
    <definedName name="_____NCL250">#REF!</definedName>
    <definedName name="_____nin190">#REF!</definedName>
    <definedName name="_____sc1">#REF!</definedName>
    <definedName name="_____SC2">#REF!</definedName>
    <definedName name="_____sc3">#REF!</definedName>
    <definedName name="_____SN3">#REF!</definedName>
    <definedName name="_____th100">'[10]dongia _2_'!#REF!</definedName>
    <definedName name="_____TH160">'[10]dongia _2_'!#REF!</definedName>
    <definedName name="_____TL1">#REF!</definedName>
    <definedName name="_____TL2">#REF!</definedName>
    <definedName name="_____TL3">#REF!</definedName>
    <definedName name="_____TLA120">#REF!</definedName>
    <definedName name="_____TLA35">#REF!</definedName>
    <definedName name="_____TLA50">#REF!</definedName>
    <definedName name="_____TLA70">#REF!</definedName>
    <definedName name="_____TLA95">#REF!</definedName>
    <definedName name="_____TR250">'[10]dongia _2_'!#REF!</definedName>
    <definedName name="_____tr375">[10]giathanh1!#REF!</definedName>
    <definedName name="_____VL100">#REF!</definedName>
    <definedName name="_____VL200">#REF!</definedName>
    <definedName name="_____VL250">#REF!</definedName>
    <definedName name="____abb91">[7]chitimc!#REF!</definedName>
    <definedName name="____CT250">'[7]dongia _2_'!#REF!</definedName>
    <definedName name="____ddn400">#REF!</definedName>
    <definedName name="____ddn600">#REF!</definedName>
    <definedName name="____dgt100">'[7]dongia _2_'!#REF!</definedName>
    <definedName name="____DIV10">'[4]daftar kuantitas'!#REF!</definedName>
    <definedName name="____DIV11">'[4]daftar kuantitas'!#REF!</definedName>
    <definedName name="____DIV2">'[4]daftar kuantitas'!$G$28</definedName>
    <definedName name="____DIV3">'[4]daftar kuantitas'!$G$35</definedName>
    <definedName name="____DIV4">'[4]daftar kuantitas'!$G$48</definedName>
    <definedName name="____DIV5">'[4]daftar kuantitas'!$G$55</definedName>
    <definedName name="____DIV6">'[4]daftar kuantitas'!$G$64</definedName>
    <definedName name="____DIV7">'[4]daftar kuantitas'!$G$73</definedName>
    <definedName name="____DIV8">'[4]daftar kuantitas'!#REF!</definedName>
    <definedName name="____DIV9">'[4]daftar kuantitas'!#REF!</definedName>
    <definedName name="____EEE01">#REF!</definedName>
    <definedName name="____EEE02">#REF!</definedName>
    <definedName name="____EEE03">#REF!</definedName>
    <definedName name="____EEE04">#REF!</definedName>
    <definedName name="____EEE05">#REF!</definedName>
    <definedName name="____EEE06">#REF!</definedName>
    <definedName name="____EEE07">#REF!</definedName>
    <definedName name="____EEE08">#REF!</definedName>
    <definedName name="____EEE09">#REF!</definedName>
    <definedName name="____EEE10">#REF!</definedName>
    <definedName name="____EEE11">#REF!</definedName>
    <definedName name="____EEE12">#REF!</definedName>
    <definedName name="____EEE13">#REF!</definedName>
    <definedName name="____EEE14">#REF!</definedName>
    <definedName name="____EEE15">#REF!</definedName>
    <definedName name="____EEE16">#REF!</definedName>
    <definedName name="____EEE17">#REF!</definedName>
    <definedName name="____EEE18">#REF!</definedName>
    <definedName name="____EEE19">#REF!</definedName>
    <definedName name="____EEE20">#REF!</definedName>
    <definedName name="____EEE21">#REF!</definedName>
    <definedName name="____EEE22">#REF!</definedName>
    <definedName name="____EEE23">#REF!</definedName>
    <definedName name="____EEE24">#REF!</definedName>
    <definedName name="____EEE25">#REF!</definedName>
    <definedName name="____EEE26">#REF!</definedName>
    <definedName name="____EEE27">#REF!</definedName>
    <definedName name="____EEE28">#REF!</definedName>
    <definedName name="____EEE29">#REF!</definedName>
    <definedName name="____EEE30">#REF!</definedName>
    <definedName name="____EEE31">#REF!</definedName>
    <definedName name="____EEE32">#REF!</definedName>
    <definedName name="____EEE33">#REF!</definedName>
    <definedName name="____GID1">[7]LKVL_CK_HT_GD1!$A$4</definedName>
    <definedName name="____HAL1">[14]Mobilisasi!#REF!</definedName>
    <definedName name="____HAL7">'[4]daftar kuantitas'!#REF!</definedName>
    <definedName name="____MAC12">#REF!</definedName>
    <definedName name="____MAC46">#REF!</definedName>
    <definedName name="____MDE01">[12]ALAT!$BO$27</definedName>
    <definedName name="____MDE02">[12]ALAT!$BO$47</definedName>
    <definedName name="____MDE03">[12]ALAT!$BO$67</definedName>
    <definedName name="____MDE04">[12]ALAT!$BO$87</definedName>
    <definedName name="____MDE05">[12]ALAT!$BO$107</definedName>
    <definedName name="____MDE06">[12]ALAT!$BO$127</definedName>
    <definedName name="____MDE07">[12]ALAT!$BO$147</definedName>
    <definedName name="____MDE08">[12]ALAT!$BO$167</definedName>
    <definedName name="____MDE09">[12]ALAT!$BO$187</definedName>
    <definedName name="____MDE10">[12]ALAT!$BO$207</definedName>
    <definedName name="____MDE11">[12]ALAT!$BO$227</definedName>
    <definedName name="____MDE12">[12]ALAT!$BO$247</definedName>
    <definedName name="____MDE13">[12]ALAT!$BO$267</definedName>
    <definedName name="____MDE14">[12]ALAT!$BO$287</definedName>
    <definedName name="____MDE15">[12]ALAT!$BO$307</definedName>
    <definedName name="____MDE16">[12]ALAT!$BO$327</definedName>
    <definedName name="____MDE17">[12]ALAT!$BO$347</definedName>
    <definedName name="____MDE18">[12]ALAT!$BO$367</definedName>
    <definedName name="____MDE19">[12]ALAT!$BO$387</definedName>
    <definedName name="____MDE20">[12]ALAT!$BO$407</definedName>
    <definedName name="____MDE21">[12]ALAT!$BO$427</definedName>
    <definedName name="____MDE22">[12]ALAT!$BO$447</definedName>
    <definedName name="____MDE23">[12]ALAT!$BO$467</definedName>
    <definedName name="____MDE24">[12]ALAT!$BO$487</definedName>
    <definedName name="____MDE25">[12]ALAT!$BO$507</definedName>
    <definedName name="____MDE26">[12]ALAT!$BO$527</definedName>
    <definedName name="____MDE27">[12]ALAT!$BO$547</definedName>
    <definedName name="____MDE28">[12]ALAT!$BO$567</definedName>
    <definedName name="____MDE29">[12]ALAT!$BO$587</definedName>
    <definedName name="____MDE30">[12]ALAT!$BO$607</definedName>
    <definedName name="____MDE31">[12]ALAT!$BO$627</definedName>
    <definedName name="____MDE32">[12]ALAT!$BO$647</definedName>
    <definedName name="____MDE33">[12]ALAT!$BO$667</definedName>
    <definedName name="____MDE34">[12]ALAT!$BO$698</definedName>
    <definedName name="____MDE35">'[6]Peralatan (2)'!$R$27</definedName>
    <definedName name="____ME01">[12]ALAT!$BO$26</definedName>
    <definedName name="____ME02">[12]ALAT!$BO$46</definedName>
    <definedName name="____ME03">[12]ALAT!$BO$66</definedName>
    <definedName name="____ME04">[12]ALAT!$BO$86</definedName>
    <definedName name="____ME05">[12]ALAT!$BO$106</definedName>
    <definedName name="____ME06">[12]ALAT!$BO$126</definedName>
    <definedName name="____ME07">[12]ALAT!$BO$146</definedName>
    <definedName name="____ME08">[12]ALAT!$BO$166</definedName>
    <definedName name="____ME09">[12]ALAT!$BO$186</definedName>
    <definedName name="____ME10">[12]ALAT!$BO$206</definedName>
    <definedName name="____ME11">[12]ALAT!$BO$226</definedName>
    <definedName name="____ME12">[12]ALAT!$BO$246</definedName>
    <definedName name="____ME13">[12]ALAT!$BO$266</definedName>
    <definedName name="____ME14">[12]ALAT!$BO$286</definedName>
    <definedName name="____ME15">[12]ALAT!$BO$306</definedName>
    <definedName name="____ME16">[12]ALAT!$BO$326</definedName>
    <definedName name="____ME17">[12]ALAT!$BO$346</definedName>
    <definedName name="____ME18">[12]ALAT!$BO$366</definedName>
    <definedName name="____ME19">[12]ALAT!$BO$386</definedName>
    <definedName name="____ME20">[12]ALAT!$BO$406</definedName>
    <definedName name="____ME21">[12]ALAT!$BO$426</definedName>
    <definedName name="____ME22">[12]ALAT!$BO$446</definedName>
    <definedName name="____ME23">[12]ALAT!$BO$466</definedName>
    <definedName name="____ME24">[12]ALAT!$BO$486</definedName>
    <definedName name="____ME25">[12]ALAT!$BO$506</definedName>
    <definedName name="____ME26">[12]ALAT!$BO$526</definedName>
    <definedName name="____ME27">[12]ALAT!$BO$546</definedName>
    <definedName name="____ME28">[12]ALAT!$BO$566</definedName>
    <definedName name="____ME29">[12]ALAT!$BO$586</definedName>
    <definedName name="____ME30">[12]ALAT!$BO$606</definedName>
    <definedName name="____ME31">[12]ALAT!$BO$626</definedName>
    <definedName name="____ME32">[12]ALAT!$BO$646</definedName>
    <definedName name="____ME33">[12]ALAT!$BO$666</definedName>
    <definedName name="____ME34">[12]ALAT!$BO$697</definedName>
    <definedName name="____ME35">'[6]Peralatan (2)'!$R$26</definedName>
    <definedName name="____NCL100">#REF!</definedName>
    <definedName name="____NCL200">#REF!</definedName>
    <definedName name="____NCL250">#REF!</definedName>
    <definedName name="____nin190">#REF!</definedName>
    <definedName name="____sc1">#REF!</definedName>
    <definedName name="____SC2">#REF!</definedName>
    <definedName name="____sc3">#REF!</definedName>
    <definedName name="____SN3">#REF!</definedName>
    <definedName name="____th100">'[10]dongia _2_'!#REF!</definedName>
    <definedName name="____TH160">'[10]dongia _2_'!#REF!</definedName>
    <definedName name="____TL1">#REF!</definedName>
    <definedName name="____TL2">#REF!</definedName>
    <definedName name="____TL3">#REF!</definedName>
    <definedName name="____TLA120">#REF!</definedName>
    <definedName name="____TLA35">#REF!</definedName>
    <definedName name="____TLA50">#REF!</definedName>
    <definedName name="____TLA70">#REF!</definedName>
    <definedName name="____TLA95">#REF!</definedName>
    <definedName name="____TR250">'[10]dongia _2_'!#REF!</definedName>
    <definedName name="____tr375">[10]giathanh1!#REF!</definedName>
    <definedName name="____VL100">#REF!</definedName>
    <definedName name="____VL200">#REF!</definedName>
    <definedName name="____VL250">#REF!</definedName>
    <definedName name="___abb91">[7]chitimc!#REF!</definedName>
    <definedName name="___CT250">'[7]dongia _2_'!#REF!</definedName>
    <definedName name="___ddn400">#REF!</definedName>
    <definedName name="___ddn600">#REF!</definedName>
    <definedName name="___dgt100">'[7]dongia _2_'!#REF!</definedName>
    <definedName name="___DIV1">#REF!</definedName>
    <definedName name="___DIV10">'[4]daftar kuantitas'!#REF!</definedName>
    <definedName name="___DIV11">'[4]daftar kuantitas'!#REF!</definedName>
    <definedName name="___DIV2">#REF!</definedName>
    <definedName name="___DIV3">#REF!</definedName>
    <definedName name="___DIV4">#REF!</definedName>
    <definedName name="___DIV5">#REF!</definedName>
    <definedName name="___DIV6">#REF!</definedName>
    <definedName name="___DIV7">#REF!</definedName>
    <definedName name="___DIV8">'[4]daftar kuantitas'!#REF!</definedName>
    <definedName name="___DIV9">'[4]daftar kuantitas'!#REF!</definedName>
    <definedName name="___EEE01">#REF!</definedName>
    <definedName name="___EEE02">#REF!</definedName>
    <definedName name="___EEE03">#REF!</definedName>
    <definedName name="___EEE04">#REF!</definedName>
    <definedName name="___EEE05">#REF!</definedName>
    <definedName name="___EEE06">#REF!</definedName>
    <definedName name="___EEE07">#REF!</definedName>
    <definedName name="___EEE08">#REF!</definedName>
    <definedName name="___EEE09">#REF!</definedName>
    <definedName name="___EEE10">#REF!</definedName>
    <definedName name="___EEE11">#REF!</definedName>
    <definedName name="___EEE12">#REF!</definedName>
    <definedName name="___EEE13">#REF!</definedName>
    <definedName name="___EEE14">#REF!</definedName>
    <definedName name="___EEE15">#REF!</definedName>
    <definedName name="___EEE16">#REF!</definedName>
    <definedName name="___EEE17">#REF!</definedName>
    <definedName name="___EEE18">#REF!</definedName>
    <definedName name="___EEE19">#REF!</definedName>
    <definedName name="___EEE20">#REF!</definedName>
    <definedName name="___EEE21">#REF!</definedName>
    <definedName name="___EEE22">#REF!</definedName>
    <definedName name="___EEE23">#REF!</definedName>
    <definedName name="___EEE24">#REF!</definedName>
    <definedName name="___EEE25">#REF!</definedName>
    <definedName name="___EEE26">#REF!</definedName>
    <definedName name="___EEE27">#REF!</definedName>
    <definedName name="___EEE28">#REF!</definedName>
    <definedName name="___EEE29">#REF!</definedName>
    <definedName name="___EEE30">#REF!</definedName>
    <definedName name="___EEE31">#REF!</definedName>
    <definedName name="___EEE32">#REF!</definedName>
    <definedName name="___EEE33">#REF!</definedName>
    <definedName name="___GID1">[7]LKVL_CK_HT_GD1!$A$4</definedName>
    <definedName name="___HAL1">[14]Mobilisasi!#REF!</definedName>
    <definedName name="___HAL2">[15]L4c!#REF!</definedName>
    <definedName name="___HAL7">'[4]daftar kuantitas'!#REF!</definedName>
    <definedName name="___MAC12">#REF!</definedName>
    <definedName name="___MAC46">#REF!</definedName>
    <definedName name="___MDE01">[12]ALAT!$BO$27</definedName>
    <definedName name="___MDE02">[12]ALAT!$BO$47</definedName>
    <definedName name="___MDE03">[12]ALAT!$BO$67</definedName>
    <definedName name="___MDE04">[12]ALAT!$BO$87</definedName>
    <definedName name="___MDE05">[12]ALAT!$BO$107</definedName>
    <definedName name="___MDE06">[12]ALAT!$BO$127</definedName>
    <definedName name="___MDE07">[12]ALAT!$BO$147</definedName>
    <definedName name="___MDE08">[12]ALAT!$BO$167</definedName>
    <definedName name="___MDE09">[12]ALAT!$BO$187</definedName>
    <definedName name="___MDE10">[12]ALAT!$BO$207</definedName>
    <definedName name="___MDE11">[12]ALAT!$BO$227</definedName>
    <definedName name="___MDE12">[12]ALAT!$BO$247</definedName>
    <definedName name="___MDE13">[12]ALAT!$BO$267</definedName>
    <definedName name="___MDE14">[12]ALAT!$BO$287</definedName>
    <definedName name="___MDE15">[12]ALAT!$BO$307</definedName>
    <definedName name="___MDE16">[12]ALAT!$BO$327</definedName>
    <definedName name="___MDE17">[12]ALAT!$BO$347</definedName>
    <definedName name="___MDE18">[12]ALAT!$BO$367</definedName>
    <definedName name="___MDE19">[12]ALAT!$BO$387</definedName>
    <definedName name="___MDE20">[12]ALAT!$BO$407</definedName>
    <definedName name="___MDE21">[12]ALAT!$BO$427</definedName>
    <definedName name="___MDE22">[12]ALAT!$BO$447</definedName>
    <definedName name="___MDE23">[12]ALAT!$BO$467</definedName>
    <definedName name="___MDE24">[12]ALAT!$BO$487</definedName>
    <definedName name="___MDE25">[12]ALAT!$BO$507</definedName>
    <definedName name="___MDE26">[12]ALAT!$BO$527</definedName>
    <definedName name="___MDE27">[12]ALAT!$BO$547</definedName>
    <definedName name="___MDE28">[12]ALAT!$BO$567</definedName>
    <definedName name="___MDE29">[12]ALAT!$BO$587</definedName>
    <definedName name="___MDE30">[12]ALAT!$BO$607</definedName>
    <definedName name="___MDE31">[12]ALAT!$BO$627</definedName>
    <definedName name="___MDE32">[12]ALAT!$BO$647</definedName>
    <definedName name="___MDE33">[12]ALAT!$BO$667</definedName>
    <definedName name="___MDE34">[12]ALAT!$BO$698</definedName>
    <definedName name="___MDE35">'[6]Peralatan (2)'!$R$27</definedName>
    <definedName name="___ME01">[12]ALAT!$BO$26</definedName>
    <definedName name="___ME02">[12]ALAT!$BO$46</definedName>
    <definedName name="___ME03">[12]ALAT!$BO$66</definedName>
    <definedName name="___ME04">[12]ALAT!$BO$86</definedName>
    <definedName name="___ME05">[12]ALAT!$BO$106</definedName>
    <definedName name="___ME06">[12]ALAT!$BO$126</definedName>
    <definedName name="___ME07">[12]ALAT!$BO$146</definedName>
    <definedName name="___ME08">[12]ALAT!$BO$166</definedName>
    <definedName name="___ME09">[12]ALAT!$BO$186</definedName>
    <definedName name="___ME10">[12]ALAT!$BO$206</definedName>
    <definedName name="___ME11">[12]ALAT!$BO$226</definedName>
    <definedName name="___ME12">[12]ALAT!$BO$246</definedName>
    <definedName name="___ME13">[12]ALAT!$BO$266</definedName>
    <definedName name="___ME14">[12]ALAT!$BO$286</definedName>
    <definedName name="___ME15">[12]ALAT!$BO$306</definedName>
    <definedName name="___ME16">[12]ALAT!$BO$326</definedName>
    <definedName name="___ME17">[12]ALAT!$BO$346</definedName>
    <definedName name="___ME18">[12]ALAT!$BO$366</definedName>
    <definedName name="___ME19">[12]ALAT!$BO$386</definedName>
    <definedName name="___ME20">[12]ALAT!$BO$406</definedName>
    <definedName name="___ME21">[12]ALAT!$BO$426</definedName>
    <definedName name="___ME22">[12]ALAT!$BO$446</definedName>
    <definedName name="___ME23">[12]ALAT!$BO$466</definedName>
    <definedName name="___ME24">[12]ALAT!$BO$486</definedName>
    <definedName name="___ME25">[12]ALAT!$BO$506</definedName>
    <definedName name="___ME26">[12]ALAT!$BO$526</definedName>
    <definedName name="___ME27">[12]ALAT!$BO$546</definedName>
    <definedName name="___ME28">[12]ALAT!$BO$566</definedName>
    <definedName name="___ME29">[12]ALAT!$BO$586</definedName>
    <definedName name="___ME30">[12]ALAT!$BO$606</definedName>
    <definedName name="___ME31">[12]ALAT!$BO$626</definedName>
    <definedName name="___ME32">[12]ALAT!$BO$646</definedName>
    <definedName name="___ME33">[12]ALAT!$BO$666</definedName>
    <definedName name="___ME34">[12]ALAT!$BO$697</definedName>
    <definedName name="___ME35">'[6]Peralatan (2)'!$R$26</definedName>
    <definedName name="___NCL100">#REF!</definedName>
    <definedName name="___NCL200">#REF!</definedName>
    <definedName name="___NCL250">#REF!</definedName>
    <definedName name="___nin190">#REF!</definedName>
    <definedName name="___sc1">#REF!</definedName>
    <definedName name="___SC2">#REF!</definedName>
    <definedName name="___sc3">#REF!</definedName>
    <definedName name="___SN3">#REF!</definedName>
    <definedName name="___th100">'[10]dongia _2_'!#REF!</definedName>
    <definedName name="___TH160">'[10]dongia _2_'!#REF!</definedName>
    <definedName name="___TL1">#REF!</definedName>
    <definedName name="___TL2">#REF!</definedName>
    <definedName name="___TL3">#REF!</definedName>
    <definedName name="___TLA120">#REF!</definedName>
    <definedName name="___TLA35">#REF!</definedName>
    <definedName name="___TLA50">#REF!</definedName>
    <definedName name="___TLA70">#REF!</definedName>
    <definedName name="___TLA95">#REF!</definedName>
    <definedName name="___TR250">'[10]dongia _2_'!#REF!</definedName>
    <definedName name="___tr375">[10]giathanh1!#REF!</definedName>
    <definedName name="___VL100">#REF!</definedName>
    <definedName name="___VL200">#REF!</definedName>
    <definedName name="___VL250">#REF!</definedName>
    <definedName name="__123Graph_A" hidden="1">[16]Analisa!#REF!</definedName>
    <definedName name="__123Graph_B" hidden="1">[16]Analisa!#REF!</definedName>
    <definedName name="__123Graph_X" hidden="1">[16]Analisa!#REF!</definedName>
    <definedName name="__abb91">[7]chitimc!#REF!</definedName>
    <definedName name="__CT250">'[7]dongia _2_'!#REF!</definedName>
    <definedName name="__ddn400">#REF!</definedName>
    <definedName name="__ddn600">#REF!</definedName>
    <definedName name="__dgt100">'[7]dongia _2_'!#REF!</definedName>
    <definedName name="__DIV1">'[17]%'!#REF!</definedName>
    <definedName name="__DIV10">'[17]%'!#REF!</definedName>
    <definedName name="__DIV11">'[17]%'!#REF!</definedName>
    <definedName name="__DIV2">'[17]%'!#REF!</definedName>
    <definedName name="__DIV3">'[17]%'!#REF!</definedName>
    <definedName name="__DIV4">'[17]%'!#REF!</definedName>
    <definedName name="__DIV5">'[17]%'!#REF!</definedName>
    <definedName name="__DIV6">'[17]%'!#REF!</definedName>
    <definedName name="__DIV7">'[17]%'!#REF!</definedName>
    <definedName name="__DIV8">'[17]%'!#REF!</definedName>
    <definedName name="__DIV9">'[17]%'!#REF!</definedName>
    <definedName name="__EEE01">#REF!</definedName>
    <definedName name="__EEE02">#REF!</definedName>
    <definedName name="__EEE03">#REF!</definedName>
    <definedName name="__EEE04">#REF!</definedName>
    <definedName name="__EEE05">#REF!</definedName>
    <definedName name="__EEE06">#REF!</definedName>
    <definedName name="__EEE07">#REF!</definedName>
    <definedName name="__EEE08">#REF!</definedName>
    <definedName name="__EEE09">#REF!</definedName>
    <definedName name="__EEE10">#REF!</definedName>
    <definedName name="__EEE11">#REF!</definedName>
    <definedName name="__EEE12">#REF!</definedName>
    <definedName name="__EEE13">#REF!</definedName>
    <definedName name="__EEE14">#REF!</definedName>
    <definedName name="__EEE15">#REF!</definedName>
    <definedName name="__EEE16">#REF!</definedName>
    <definedName name="__EEE17">#REF!</definedName>
    <definedName name="__EEE18">#REF!</definedName>
    <definedName name="__EEE19">#REF!</definedName>
    <definedName name="__EEE20">#REF!</definedName>
    <definedName name="__EEE21">#REF!</definedName>
    <definedName name="__EEE22">#REF!</definedName>
    <definedName name="__EEE23">#REF!</definedName>
    <definedName name="__EEE24">#REF!</definedName>
    <definedName name="__EEE25">#REF!</definedName>
    <definedName name="__EEE26">#REF!</definedName>
    <definedName name="__EEE27">#REF!</definedName>
    <definedName name="__EEE28">#REF!</definedName>
    <definedName name="__EEE29">#REF!</definedName>
    <definedName name="__EEE30">#REF!</definedName>
    <definedName name="__EEE31">#REF!</definedName>
    <definedName name="__EEE32">#REF!</definedName>
    <definedName name="__EEE33">#REF!</definedName>
    <definedName name="__GID1">[7]LKVL_CK_HT_GD1!$A$4</definedName>
    <definedName name="__HAL1">[14]Mobilisasi!#REF!</definedName>
    <definedName name="__HAL2">[15]L4c!#REF!</definedName>
    <definedName name="__HAL7">'[3]Kuantitas &amp; Harga'!#REF!</definedName>
    <definedName name="__MAC12">#REF!</definedName>
    <definedName name="__MAC46">#REF!</definedName>
    <definedName name="__MDE01">[12]ALAT!$BO$27</definedName>
    <definedName name="__MDE02">[12]ALAT!$BO$47</definedName>
    <definedName name="__MDE03">[12]ALAT!$BO$67</definedName>
    <definedName name="__MDE04">[12]ALAT!$BO$87</definedName>
    <definedName name="__MDE05">[12]ALAT!$BO$107</definedName>
    <definedName name="__MDE06">[12]ALAT!$BO$127</definedName>
    <definedName name="__MDE07">[12]ALAT!$BO$147</definedName>
    <definedName name="__MDE08">[12]ALAT!$BO$167</definedName>
    <definedName name="__MDE09">[12]ALAT!$BO$187</definedName>
    <definedName name="__MDE10">[12]ALAT!$BO$207</definedName>
    <definedName name="__MDE11">[12]ALAT!$BO$227</definedName>
    <definedName name="__MDE12">[12]ALAT!$BO$247</definedName>
    <definedName name="__MDE13">[12]ALAT!$BO$267</definedName>
    <definedName name="__MDE14">[12]ALAT!$BO$287</definedName>
    <definedName name="__MDE15">[12]ALAT!$BO$307</definedName>
    <definedName name="__MDE16">[12]ALAT!$BO$327</definedName>
    <definedName name="__MDE17">[12]ALAT!$BO$347</definedName>
    <definedName name="__MDE18">[12]ALAT!$BO$367</definedName>
    <definedName name="__MDE19">[12]ALAT!$BO$387</definedName>
    <definedName name="__MDE20">[12]ALAT!$BO$407</definedName>
    <definedName name="__MDE21">[12]ALAT!$BO$427</definedName>
    <definedName name="__MDE22">[12]ALAT!$BO$447</definedName>
    <definedName name="__MDE23">[12]ALAT!$BO$467</definedName>
    <definedName name="__MDE24">[12]ALAT!$BO$487</definedName>
    <definedName name="__MDE25">[12]ALAT!$BO$507</definedName>
    <definedName name="__MDE26">[12]ALAT!$BO$527</definedName>
    <definedName name="__MDE27">[12]ALAT!$BO$547</definedName>
    <definedName name="__MDE28">[12]ALAT!$BO$567</definedName>
    <definedName name="__MDE29">[12]ALAT!$BO$587</definedName>
    <definedName name="__MDE30">[12]ALAT!$BO$607</definedName>
    <definedName name="__MDE31">[12]ALAT!$BO$627</definedName>
    <definedName name="__MDE32">[12]ALAT!$BO$647</definedName>
    <definedName name="__MDE33">[12]ALAT!$BO$667</definedName>
    <definedName name="__MDE34">[12]ALAT!$BO$698</definedName>
    <definedName name="__MDE35">'[6]Peralatan (2)'!$R$27</definedName>
    <definedName name="__ME01">[12]ALAT!$BO$26</definedName>
    <definedName name="__ME02">[12]ALAT!$BO$46</definedName>
    <definedName name="__ME03">[12]ALAT!$BO$66</definedName>
    <definedName name="__ME04">[12]ALAT!$BO$86</definedName>
    <definedName name="__ME05">[12]ALAT!$BO$106</definedName>
    <definedName name="__ME06">[12]ALAT!$BO$126</definedName>
    <definedName name="__ME07">[12]ALAT!$BO$146</definedName>
    <definedName name="__ME08">[12]ALAT!$BO$166</definedName>
    <definedName name="__ME09">[12]ALAT!$BO$186</definedName>
    <definedName name="__ME10">[12]ALAT!$BO$206</definedName>
    <definedName name="__ME11">[12]ALAT!$BO$226</definedName>
    <definedName name="__ME12">[12]ALAT!$BO$246</definedName>
    <definedName name="__ME13">[12]ALAT!$BO$266</definedName>
    <definedName name="__ME14">[12]ALAT!$BO$286</definedName>
    <definedName name="__ME15">[12]ALAT!$BO$306</definedName>
    <definedName name="__ME16">[12]ALAT!$BO$326</definedName>
    <definedName name="__ME17">[12]ALAT!$BO$346</definedName>
    <definedName name="__ME18">[12]ALAT!$BO$366</definedName>
    <definedName name="__ME19">[12]ALAT!$BO$386</definedName>
    <definedName name="__ME20">[12]ALAT!$BO$406</definedName>
    <definedName name="__ME21">[12]ALAT!$BO$426</definedName>
    <definedName name="__ME22">[12]ALAT!$BO$446</definedName>
    <definedName name="__ME23">[12]ALAT!$BO$466</definedName>
    <definedName name="__ME24">[12]ALAT!$BO$486</definedName>
    <definedName name="__ME25">[12]ALAT!$BO$506</definedName>
    <definedName name="__ME26">[12]ALAT!$BO$526</definedName>
    <definedName name="__ME27">[12]ALAT!$BO$546</definedName>
    <definedName name="__ME28">[12]ALAT!$BO$566</definedName>
    <definedName name="__ME29">[12]ALAT!$BO$586</definedName>
    <definedName name="__ME30">[12]ALAT!$BO$606</definedName>
    <definedName name="__ME31">[12]ALAT!$BO$626</definedName>
    <definedName name="__ME32">[12]ALAT!$BO$646</definedName>
    <definedName name="__ME33">[12]ALAT!$BO$666</definedName>
    <definedName name="__ME34">[12]ALAT!$BO$697</definedName>
    <definedName name="__ME35">'[6]Peralatan (2)'!$R$26</definedName>
    <definedName name="__NCL100">#REF!</definedName>
    <definedName name="__NCL200">#REF!</definedName>
    <definedName name="__NCL250">#REF!</definedName>
    <definedName name="__nin190">#REF!</definedName>
    <definedName name="__sc1">#REF!</definedName>
    <definedName name="__SC2">#REF!</definedName>
    <definedName name="__sc3">#REF!</definedName>
    <definedName name="__SN3">#REF!</definedName>
    <definedName name="__th100">'[10]dongia _2_'!#REF!</definedName>
    <definedName name="__TH160">'[10]dongia _2_'!#REF!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R250">'[10]dongia _2_'!#REF!</definedName>
    <definedName name="__tr375">[10]giathanh1!#REF!</definedName>
    <definedName name="__VL100">#REF!</definedName>
    <definedName name="__VL200">#REF!</definedName>
    <definedName name="__VL250">#REF!</definedName>
    <definedName name="_1">#REF!</definedName>
    <definedName name="_1.2_MOBIL">[1]A!$W$5:$AD$54</definedName>
    <definedName name="_1__1">[2]Analisa!#REF!</definedName>
    <definedName name="_10_10">[1]A!$AG$407:$AM$436</definedName>
    <definedName name="_2">#REF!</definedName>
    <definedName name="_2__2">[2]Analisa!$A$8:$J$57</definedName>
    <definedName name="_2_0_HARSAT">[1]A!$Q$1:$U$62</definedName>
    <definedName name="_2_10">[1]A!$AG$2:$AM$49</definedName>
    <definedName name="_2_2A">[1]A!$W$1103:$AD$1168</definedName>
    <definedName name="_2_2B">[1]A!#REF!</definedName>
    <definedName name="_2_2C">[1]A!#REF!</definedName>
    <definedName name="_2_2D">[1]A!$AW$222:$IV$8192</definedName>
    <definedName name="_2_2E">[1]A!#REF!</definedName>
    <definedName name="_2_2F">[1]A!$W$700:$AD$761</definedName>
    <definedName name="_2_2G">[1]A!$W$935:$AD$995</definedName>
    <definedName name="_2_2H">[1]A!$W$854:$AD$916</definedName>
    <definedName name="_2A_2">[1]A!$W$78:$AD$123</definedName>
    <definedName name="_3">#REF!</definedName>
    <definedName name="_3__3">'[2]Analisa:Rencana Anggaran Biaya'!$A$1:$J$55</definedName>
    <definedName name="_3_10">[1]A!$AG$74:$IV$8192</definedName>
    <definedName name="_4">#REF!</definedName>
    <definedName name="_4__4">'[2]Rencana Anggaran Biaya'!$A$11:$J$29</definedName>
    <definedName name="_4_10">[1]A!$AM$140:$IV$8192</definedName>
    <definedName name="_5__5">'[2]Harga Satuan'!$D$1:$G$64</definedName>
    <definedName name="_5_10">[1]A!$AG$146:$IV$8192</definedName>
    <definedName name="_6__6">'[2]Harga Satuan'!#REF!</definedName>
    <definedName name="_6_10">[1]A!#REF!</definedName>
    <definedName name="_7.1__2">'[18]D7(1)'!#REF!</definedName>
    <definedName name="_7_10">[1]A!$AG$243:$AM$295</definedName>
    <definedName name="_8_10">[1]A!#REF!</definedName>
    <definedName name="_9_10">[1]A!$AG$290:$IV$8192</definedName>
    <definedName name="_abb91">[7]chitimc!#REF!</definedName>
    <definedName name="_CT250">'[7]dongia _2_'!#REF!</definedName>
    <definedName name="_ddn400">#REF!</definedName>
    <definedName name="_ddn600">#REF!</definedName>
    <definedName name="_dgt100">'[7]dongia _2_'!#REF!</definedName>
    <definedName name="_DIV10">'[4]daftar kuantitas'!#REF!</definedName>
    <definedName name="_DIV11">'[4]daftar kuantitas'!#REF!</definedName>
    <definedName name="_DIV8">'[4]daftar kuantitas'!#REF!</definedName>
    <definedName name="_DIV9">'[4]daftar kuantitas'!#REF!</definedName>
    <definedName name="_EEE01">[4]Peralatan!#REF!</definedName>
    <definedName name="_EEE02">[4]Peralatan!#REF!</definedName>
    <definedName name="_EEE03">[4]Peralatan!#REF!</definedName>
    <definedName name="_EEE04">[4]Peralatan!#REF!</definedName>
    <definedName name="_EEE05">[4]Peralatan!#REF!</definedName>
    <definedName name="_EEE06">[4]Peralatan!#REF!</definedName>
    <definedName name="_EEE07">[4]Peralatan!#REF!</definedName>
    <definedName name="_EEE08">[4]Peralatan!#REF!</definedName>
    <definedName name="_EEE09">[4]Peralatan!#REF!</definedName>
    <definedName name="_EEE10">[4]Peralatan!#REF!</definedName>
    <definedName name="_EEE11">[4]Peralatan!#REF!</definedName>
    <definedName name="_EEE12">[4]Peralatan!#REF!</definedName>
    <definedName name="_EEE13">[4]Peralatan!#REF!</definedName>
    <definedName name="_EEE14">[4]Peralatan!#REF!</definedName>
    <definedName name="_EEE15">[4]Peralatan!#REF!</definedName>
    <definedName name="_EEE16">[4]Peralatan!#REF!</definedName>
    <definedName name="_EEE17">[4]Peralatan!#REF!</definedName>
    <definedName name="_EEE18">[4]Peralatan!#REF!</definedName>
    <definedName name="_EEE19">[4]Peralatan!#REF!</definedName>
    <definedName name="_EEE20">[4]Peralatan!#REF!</definedName>
    <definedName name="_EEE21">[4]Peralatan!#REF!</definedName>
    <definedName name="_EEE22">[4]Peralatan!#REF!</definedName>
    <definedName name="_EEE23">[4]Peralatan!#REF!</definedName>
    <definedName name="_EEE24">[4]Peralatan!#REF!</definedName>
    <definedName name="_EEE25">[4]Peralatan!#REF!</definedName>
    <definedName name="_EEE26">[4]Peralatan!#REF!</definedName>
    <definedName name="_EEE27">[4]Peralatan!#REF!</definedName>
    <definedName name="_EEE28">[4]Peralatan!#REF!</definedName>
    <definedName name="_EEE29">[4]Peralatan!#REF!</definedName>
    <definedName name="_EEE30">[4]Peralatan!#REF!</definedName>
    <definedName name="_EEE31">[4]Peralatan!#REF!</definedName>
    <definedName name="_EEE32">[4]Peralatan!#REF!</definedName>
    <definedName name="_EEE33">[4]Peralatan!#REF!</definedName>
    <definedName name="_xlnm._FilterDatabase" localSheetId="3" hidden="1">Budget!$A$6:$L$232</definedName>
    <definedName name="_xlnm._FilterDatabase" localSheetId="5" hidden="1">'Rincian harian MC0'!$G$10:$G$1611</definedName>
    <definedName name="_xlnm._FilterDatabase" hidden="1">#REF!</definedName>
    <definedName name="_GID1">[7]LKVL_CK_HT_GD1!$A$4</definedName>
    <definedName name="_HAL1">#REF!</definedName>
    <definedName name="_HAL3">#REF!</definedName>
    <definedName name="_HAL4">#REF!</definedName>
    <definedName name="_HAL5">#REF!</definedName>
    <definedName name="_HAL6">#REF!</definedName>
    <definedName name="_HAL7">'[4]daftar kuantitas'!#REF!</definedName>
    <definedName name="_HAL8">#REF!</definedName>
    <definedName name="_LLL01">'[4]Basic Price'!$F$8</definedName>
    <definedName name="_LLL02">'[4]Basic Price'!$F$12</definedName>
    <definedName name="_LLL03">'[4]Basic Price'!$F$14</definedName>
    <definedName name="_LLL04">'[4]Basic Price'!$F$16</definedName>
    <definedName name="_LLL05">'[4]Basic Price'!$F$18</definedName>
    <definedName name="_LLL06">'[4]Basic Price'!$F$20</definedName>
    <definedName name="_LLL11">'[4]Basic Price'!#REF!</definedName>
    <definedName name="_MAC12">#REF!</definedName>
    <definedName name="_MAC46">#REF!</definedName>
    <definedName name="_MDE01">[12]ALAT!$BO$27</definedName>
    <definedName name="_MDE02">[12]ALAT!$BO$47</definedName>
    <definedName name="_MDE03">[12]ALAT!$BO$67</definedName>
    <definedName name="_MDE04">[12]ALAT!$BO$87</definedName>
    <definedName name="_MDE05">[12]ALAT!$BO$107</definedName>
    <definedName name="_MDE06">[12]ALAT!$BO$127</definedName>
    <definedName name="_MDE07">[12]ALAT!$BO$147</definedName>
    <definedName name="_MDE08">[12]ALAT!$BO$167</definedName>
    <definedName name="_MDE09">[12]ALAT!$BO$187</definedName>
    <definedName name="_MDE10">[12]ALAT!$BO$207</definedName>
    <definedName name="_MDE11">[12]ALAT!$BO$227</definedName>
    <definedName name="_MDE12">[12]ALAT!$BO$247</definedName>
    <definedName name="_MDE13">[12]ALAT!$BO$267</definedName>
    <definedName name="_MDE14">[12]ALAT!$BO$287</definedName>
    <definedName name="_MDE15">[12]ALAT!$BO$307</definedName>
    <definedName name="_MDE16">[12]ALAT!$BO$327</definedName>
    <definedName name="_MDE17">[12]ALAT!$BO$347</definedName>
    <definedName name="_MDE18">[12]ALAT!$BO$367</definedName>
    <definedName name="_MDE19">[12]ALAT!$BO$387</definedName>
    <definedName name="_MDE20">[12]ALAT!$BO$407</definedName>
    <definedName name="_MDE21">[12]ALAT!$BO$427</definedName>
    <definedName name="_MDE22">[12]ALAT!$BO$447</definedName>
    <definedName name="_MDE23">[12]ALAT!$BO$467</definedName>
    <definedName name="_MDE24">[12]ALAT!$BO$487</definedName>
    <definedName name="_MDE25">[12]ALAT!$BO$507</definedName>
    <definedName name="_MDE26">[12]ALAT!$BO$527</definedName>
    <definedName name="_MDE27">[12]ALAT!$BO$547</definedName>
    <definedName name="_MDE28">[12]ALAT!$BO$567</definedName>
    <definedName name="_MDE29">[12]ALAT!$BO$587</definedName>
    <definedName name="_MDE30">[12]ALAT!$BO$607</definedName>
    <definedName name="_MDE31">[12]ALAT!$BO$627</definedName>
    <definedName name="_MDE32">[12]ALAT!$BO$647</definedName>
    <definedName name="_MDE33">[12]ALAT!$BO$667</definedName>
    <definedName name="_MDE34">[12]ALAT!$BO$698</definedName>
    <definedName name="_MDE35">'[6]Peralatan (2)'!$R$27</definedName>
    <definedName name="_ME01">[12]ALAT!$BO$26</definedName>
    <definedName name="_ME02">[12]ALAT!$BO$46</definedName>
    <definedName name="_ME03">[12]ALAT!$BO$66</definedName>
    <definedName name="_ME04">[12]ALAT!$BO$86</definedName>
    <definedName name="_ME05">[12]ALAT!$BO$106</definedName>
    <definedName name="_ME06">[12]ALAT!$BO$126</definedName>
    <definedName name="_ME07">[12]ALAT!$BO$146</definedName>
    <definedName name="_ME08">[12]ALAT!$BO$166</definedName>
    <definedName name="_ME09">[12]ALAT!$BO$186</definedName>
    <definedName name="_ME10">[12]ALAT!$BO$206</definedName>
    <definedName name="_ME11">[12]ALAT!$BO$226</definedName>
    <definedName name="_ME12">[12]ALAT!$BO$246</definedName>
    <definedName name="_ME13">[12]ALAT!$BO$266</definedName>
    <definedName name="_ME14">[12]ALAT!$BO$286</definedName>
    <definedName name="_ME15">[12]ALAT!$BO$306</definedName>
    <definedName name="_ME16">[12]ALAT!$BO$326</definedName>
    <definedName name="_ME17">[12]ALAT!$BO$346</definedName>
    <definedName name="_ME18">[12]ALAT!$BO$366</definedName>
    <definedName name="_ME19">[12]ALAT!$BO$386</definedName>
    <definedName name="_ME20">[12]ALAT!$BO$406</definedName>
    <definedName name="_ME21">[12]ALAT!$BO$426</definedName>
    <definedName name="_ME22">[12]ALAT!$BO$446</definedName>
    <definedName name="_ME23">[12]ALAT!$BO$466</definedName>
    <definedName name="_ME24">[12]ALAT!$BO$486</definedName>
    <definedName name="_ME25">[12]ALAT!$BO$506</definedName>
    <definedName name="_ME26">[12]ALAT!$BO$526</definedName>
    <definedName name="_ME27">[12]ALAT!$BO$546</definedName>
    <definedName name="_ME28">[12]ALAT!$BO$566</definedName>
    <definedName name="_ME29">[12]ALAT!$BO$586</definedName>
    <definedName name="_ME30">[12]ALAT!$BO$606</definedName>
    <definedName name="_ME31">[12]ALAT!$BO$626</definedName>
    <definedName name="_ME32">[12]ALAT!$BO$646</definedName>
    <definedName name="_ME33">[12]ALAT!$BO$666</definedName>
    <definedName name="_ME34">[12]ALAT!$BO$697</definedName>
    <definedName name="_ME35">'[6]Peralatan (2)'!$R$26</definedName>
    <definedName name="_MMM01">'[4]Basic Price'!$F$40</definedName>
    <definedName name="_MMM02">'[4]Basic Price'!$F$42</definedName>
    <definedName name="_MMM03">'[4]Basic Price'!$F$44</definedName>
    <definedName name="_MMM09">'[4]Basic Price'!$F$56</definedName>
    <definedName name="_MMM14">'[4]Basic Price'!$F$66</definedName>
    <definedName name="_MMM18">'[4]Basic Price'!$F$74</definedName>
    <definedName name="_MMM19">'[4]Basic Price'!$F$84</definedName>
    <definedName name="_MMM20">'[4]Basic Price'!$F$86</definedName>
    <definedName name="_MMM21">'[4]Basic Price'!$F$88</definedName>
    <definedName name="_MMM22">'[4]Basic Price'!$F$90</definedName>
    <definedName name="_MMM39">'[4]Basic Price'!$F$132</definedName>
    <definedName name="_NCL100">#REF!</definedName>
    <definedName name="_NCL200">#REF!</definedName>
    <definedName name="_NCL250">#REF!</definedName>
    <definedName name="_nin190">#REF!</definedName>
    <definedName name="_Order1" hidden="1">255</definedName>
    <definedName name="_sc1">#REF!</definedName>
    <definedName name="_SC2">#REF!</definedName>
    <definedName name="_sc3">#REF!</definedName>
    <definedName name="_SN3">#REF!</definedName>
    <definedName name="_Sort" hidden="1">#REF!</definedName>
    <definedName name="_th100">'[10]dongia _2_'!#REF!</definedName>
    <definedName name="_TH160">'[10]dongia _2_'!#REF!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250">'[10]dongia _2_'!#REF!</definedName>
    <definedName name="_tr375">[10]giathanh1!#REF!</definedName>
    <definedName name="_VL100">#REF!</definedName>
    <definedName name="_VL200">#REF!</definedName>
    <definedName name="_VL250">#REF!</definedName>
    <definedName name="A">#REF!</definedName>
    <definedName name="A.18a">[19]ANALISA!$H$121</definedName>
    <definedName name="A.18b">[19]ANALISA!$H$134</definedName>
    <definedName name="A.18c">[19]ANALISA!$H$144</definedName>
    <definedName name="A120_">#REF!</definedName>
    <definedName name="A35_">#REF!</definedName>
    <definedName name="A50_">#REF!</definedName>
    <definedName name="A70_">#REF!</definedName>
    <definedName name="A95_">#REF!</definedName>
    <definedName name="aaaaa">[1]A!#REF!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g142X42">[7]chitimc!#REF!</definedName>
    <definedName name="ag267N59">[7]chitimc!#REF!</definedName>
    <definedName name="AIRCOMPRESOR611">#REF!</definedName>
    <definedName name="AIRCOMPRESOR819">#REF!</definedName>
    <definedName name="ALATUTAMA">#REF!</definedName>
    <definedName name="AMP">#REF!</definedName>
    <definedName name="Analisa101A">'[20]Analisa HSP'!$U$51</definedName>
    <definedName name="Analisa101B">'[20]Analisa HSP'!$U$231</definedName>
    <definedName name="Analisa101C">'[21]Analisa HSP'!$U$410</definedName>
    <definedName name="Analisa101D">'[20]Analisa HSP'!$U$589</definedName>
    <definedName name="Analisa101E">'[20]Analisa HSP'!$U$768</definedName>
    <definedName name="ANGKA">[22]Sheet2!$A$6:$B$14</definedName>
    <definedName name="AS">[16]Analisa!#REF!</definedName>
    <definedName name="ASDF">[16]Analisa!#REF!</definedName>
    <definedName name="ASF">'[4]daftar kuantitas'!#REF!</definedName>
    <definedName name="ASFWR">[16]Analisa!#REF!</definedName>
    <definedName name="ASPALSPRAYER611">#REF!</definedName>
    <definedName name="ASPALSPRAYER819">#REF!</definedName>
    <definedName name="Ass.01">[19]ANALISA!#REF!</definedName>
    <definedName name="Ass.02">[19]ANALISA!$H$814</definedName>
    <definedName name="Ass.03">[19]ANALISA!#REF!</definedName>
    <definedName name="AtapMetal">[23]HARGA!$D$55</definedName>
    <definedName name="B">[16]Analisa!#REF!</definedName>
    <definedName name="b_240">'[7]THPDMoi  _2_'!#REF!</definedName>
    <definedName name="b_280">'[7]THPDMoi  _2_'!#REF!</definedName>
    <definedName name="b_320">'[7]THPDMoi  _2_'!#REF!</definedName>
    <definedName name="bah">[24]BAH!$BH$253:$BN$293</definedName>
    <definedName name="BAHAN321">#REF!</definedName>
    <definedName name="BAHAN511A">#REF!</definedName>
    <definedName name="BAHAN512A">#REF!</definedName>
    <definedName name="BAHAN521">#REF!</definedName>
    <definedName name="BAHAN611A">#REF!</definedName>
    <definedName name="BAHAN611B">#REF!</definedName>
    <definedName name="BAHAN753A">#REF!</definedName>
    <definedName name="BAHAN753B">#REF!</definedName>
    <definedName name="BAHAN818A">#REF!</definedName>
    <definedName name="BAHAN818B">#REF!</definedName>
    <definedName name="BAHAN819A">#REF!</definedName>
    <definedName name="bajaprofil">[23]HARGA!$D$44</definedName>
    <definedName name="bangciti">'[7]dongia _2_'!#REF!</definedName>
    <definedName name="bata">[23]HARGA!$D$32</definedName>
    <definedName name="batukali">[23]HARGA!$D$30</definedName>
    <definedName name="batukoral">[23]HARGA!$D$31</definedName>
    <definedName name="BC">[25]Menu!#REF!</definedName>
    <definedName name="bdht15nc">[7]gtrinh!#REF!</definedName>
    <definedName name="bdht15vl">[7]gtrinh!#REF!</definedName>
    <definedName name="bdht25nc">[7]gtrinh!#REF!</definedName>
    <definedName name="bdht25vl">[7]gtrinh!#REF!</definedName>
    <definedName name="bdht325nc">[7]gtrinh!#REF!</definedName>
    <definedName name="bdht325vl">[7]gtrinh!#REF!</definedName>
    <definedName name="Begesting">[19]ANALISA!$H$449</definedName>
    <definedName name="besipolos">[23]HARGA!$D$43</definedName>
    <definedName name="besiulir">[23]HARGA!$D$42</definedName>
    <definedName name="BILL1">#REF!</definedName>
    <definedName name="BILL10">#REF!</definedName>
    <definedName name="BILL2">#REF!</definedName>
    <definedName name="BILL3">#REF!</definedName>
    <definedName name="BILL4">#REF!</definedName>
    <definedName name="BILL5">#REF!</definedName>
    <definedName name="BILL6">#REF!</definedName>
    <definedName name="BILL7">#REF!</definedName>
    <definedName name="BILL8">#REF!</definedName>
    <definedName name="BILL9">#REF!</definedName>
    <definedName name="Bollard_Besi">[23]HARGA!$D$41</definedName>
    <definedName name="BudgetCategory">#REF!</definedName>
    <definedName name="BULLDOZER">#REF!</definedName>
    <definedName name="BULLDOZER311">#REF!</definedName>
    <definedName name="BULLDOZER312">#REF!</definedName>
    <definedName name="CAPDAT">[7]phuluc1!#REF!</definedName>
    <definedName name="CatMenie">[23]HARGA!$D$68</definedName>
    <definedName name="CatMinyak">[23]HARGA!$D$67</definedName>
    <definedName name="CatTembok">[23]HARGA!$D$66</definedName>
    <definedName name="CCS">#REF!</definedName>
    <definedName name="CDD">#REF!</definedName>
    <definedName name="CDDD">'[7]THPDMoi  _2_'!#REF!</definedName>
    <definedName name="cddd1p">'[7]TONG HOP VL_NC'!$C$3</definedName>
    <definedName name="cddd3p">'[7]TONG HOP VL_NC'!$C$2</definedName>
    <definedName name="cek">[18]Rekap!$I$32</definedName>
    <definedName name="cgionc">[7]lam_moi!#REF!</definedName>
    <definedName name="cgiovl">[7]lam_moi!#REF!</definedName>
    <definedName name="CH">#REF!</definedName>
    <definedName name="chhtnc">[7]lam_moi!#REF!</definedName>
    <definedName name="chhtvl">[7]lam_moi!#REF!</definedName>
    <definedName name="chnc">[7]lam_moi!#REF!</definedName>
    <definedName name="chvl">[7]lam_moi!#REF!</definedName>
    <definedName name="citidd">'[7]dongia _2_'!#REF!</definedName>
    <definedName name="CK">#REF!</definedName>
    <definedName name="cknc">[7]lam_moi!#REF!</definedName>
    <definedName name="ckvl">[7]lam_moi!#REF!</definedName>
    <definedName name="clvc1">[7]chitiet!$D$3</definedName>
    <definedName name="CLVC3">0.1</definedName>
    <definedName name="CLVCTB">#REF!</definedName>
    <definedName name="CN3p">'[7]TONGKE3p '!$X$295</definedName>
    <definedName name="Cöï_ly_vaän_chuyeãn">#REF!</definedName>
    <definedName name="CÖÏ_LY_VAÄN_CHUYEÅN">#REF!</definedName>
    <definedName name="compressor">[23]HARGA!$D$91</definedName>
    <definedName name="CONCRETEMIX818">#REF!</definedName>
    <definedName name="CONCRETEMIXER">#REF!</definedName>
    <definedName name="CONCRETEVIBRO">#REF!</definedName>
    <definedName name="CONCRETMIXER818">#REF!</definedName>
    <definedName name="cong1x15">[7]giathanh1!#REF!</definedName>
    <definedName name="Cot_thep">[26]Du_lieu!$C$19</definedName>
    <definedName name="CPVC100">#REF!</definedName>
    <definedName name="CPVC1KM">'[7]TH VL_ NC_ DDHT Thanhphuoc'!$J$19</definedName>
    <definedName name="CPVCDN">[7]_REF!$K$33</definedName>
    <definedName name="crane">[23]HARGA!$D$80</definedName>
    <definedName name="CRD">#REF!</definedName>
    <definedName name="CRS">#REF!</definedName>
    <definedName name="CS">#REF!</definedName>
    <definedName name="csd3p">#REF!</definedName>
    <definedName name="csddg1p">#REF!</definedName>
    <definedName name="csddt1p">#REF!</definedName>
    <definedName name="csht3p">#REF!</definedName>
    <definedName name="cti3x15">[7]giathanh1!#REF!</definedName>
    <definedName name="culy1">[7]DONGIA!#REF!</definedName>
    <definedName name="culy2">[7]DONGIA!#REF!</definedName>
    <definedName name="culy3">[7]DONGIA!#REF!</definedName>
    <definedName name="culy4">[7]DONGIA!#REF!</definedName>
    <definedName name="culy5">[7]DONGIA!#REF!</definedName>
    <definedName name="cuoc">[7]DONGIA!#REF!</definedName>
    <definedName name="cv">[27]gvl!$N$17</definedName>
    <definedName name="CX">#REF!</definedName>
    <definedName name="cxhtnc">[7]lam_moi!#REF!</definedName>
    <definedName name="cxhtvl">[7]lam_moi!#REF!</definedName>
    <definedName name="cxnc">[7]lam_moi!#REF!</definedName>
    <definedName name="cxvl">[7]lam_moi!#REF!</definedName>
    <definedName name="cxxnc">[7]lam_moi!#REF!</definedName>
    <definedName name="cxxvl">[7]lam_moi!#REF!</definedName>
    <definedName name="D1x49">[7]chitimc!#REF!</definedName>
    <definedName name="D1x49x49">[7]chitimc!#REF!</definedName>
    <definedName name="d24nc">[7]lam_moi!#REF!</definedName>
    <definedName name="d24vl">[7]lam_moi!#REF!</definedName>
    <definedName name="DAFTARSEWA">#REF!</definedName>
    <definedName name="DATAUPAH">[18]HB!$D$7:$F$37</definedName>
    <definedName name="DAYWORKS">'[4]daftar kuantitas'!#REF!</definedName>
    <definedName name="DD">#REF!</definedName>
    <definedName name="dd1pnc">[7]chitiet!$G$404</definedName>
    <definedName name="dd1pvl">[7]chitiet!$G$383</definedName>
    <definedName name="dd1x2">[27]gvl!$N$9</definedName>
    <definedName name="dd3pctnc">[7]lam_moi!#REF!</definedName>
    <definedName name="dd3pctvl">[7]lam_moi!#REF!</definedName>
    <definedName name="dd3plmvl">[7]lam_moi!#REF!</definedName>
    <definedName name="dd3pnc">[7]lam_moi!#REF!</definedName>
    <definedName name="dd3pvl">[7]lam_moi!#REF!</definedName>
    <definedName name="ddhtnc">[7]lam_moi!#REF!</definedName>
    <definedName name="ddhtvl">[7]lam_moi!#REF!</definedName>
    <definedName name="ddt2nc">[7]gtrinh!#REF!</definedName>
    <definedName name="ddt2vl">[7]gtrinh!#REF!</definedName>
    <definedName name="ddtd3pnc">[7]thao_go!#REF!</definedName>
    <definedName name="ddtt1pnc">[7]gtrinh!#REF!</definedName>
    <definedName name="ddtt1pvl">[7]gtrinh!#REF!</definedName>
    <definedName name="ddtt3pnc">[7]gtrinh!#REF!</definedName>
    <definedName name="ddtt3pvl">[7]gtrinh!#REF!</definedName>
    <definedName name="Deletasi">[19]ANALISA!$H$475</definedName>
    <definedName name="Dempul_Kayu">[23]HARGA!$D$71</definedName>
    <definedName name="Denso_Paste">[23]HARGA!$D$72</definedName>
    <definedName name="Denso_Pool">[23]HARGA!$D$73</definedName>
    <definedName name="Denso_Tape">[23]HARGA!$D$74</definedName>
    <definedName name="DGM">[7]DONGIA!$A$453:$F$459</definedName>
    <definedName name="dgnc">#REF!</definedName>
    <definedName name="DGTH">[7]DONGIA!#REF!</definedName>
    <definedName name="DGTH1">[7]DONGIA!$A$414:$G$452</definedName>
    <definedName name="dgth2">[7]DONGIA!$A$414:$G$439</definedName>
    <definedName name="DGTR">[7]DONGIA!$A$472:$I$521</definedName>
    <definedName name="dgvl">#REF!</definedName>
    <definedName name="DGVL1">[7]DONGIA!$A$5:$F$235</definedName>
    <definedName name="DGVT">'[7]DON GIA'!$C$5:$G$137</definedName>
    <definedName name="DL15HT">[7]TONGKE_HT!#REF!</definedName>
    <definedName name="DL16HT">[7]TONGKE_HT!#REF!</definedName>
    <definedName name="DL19HT">[7]TONGKE_HT!#REF!</definedName>
    <definedName name="DL20HT">[7]TONGKE_HT!#REF!</definedName>
    <definedName name="dongia">[7]DG!$A$4:$I$567</definedName>
    <definedName name="dongia1">[7]DG!$A$4:$H$606</definedName>
    <definedName name="ds1pnc">#REF!</definedName>
    <definedName name="ds1pvl">#REF!</definedName>
    <definedName name="ds3pnc">#REF!</definedName>
    <definedName name="ds3pvl">#REF!</definedName>
    <definedName name="dsct3pnc">[7]_REF!#REF!</definedName>
    <definedName name="dsct3pvl">[7]_REF!#REF!</definedName>
    <definedName name="DUMPTRUCK1">#REF!</definedName>
    <definedName name="DUMPTRUCK2">#REF!</definedName>
    <definedName name="DUMPTRUCK321">#REF!</definedName>
    <definedName name="DUMPTRUCK511">#REF!</definedName>
    <definedName name="DUMPTRUCK512">#REF!</definedName>
    <definedName name="DUMPTRUCK521">#REF!</definedName>
    <definedName name="DUMPTRUCK611">#REF!</definedName>
    <definedName name="DUMPTRUCK818">#REF!</definedName>
    <definedName name="DUMPTRUCK819">#REF!</definedName>
    <definedName name="duong1">[7]DONGIA!#REF!</definedName>
    <definedName name="duong2">[7]DONGIA!#REF!</definedName>
    <definedName name="duong3">[7]DONGIA!#REF!</definedName>
    <definedName name="duong4">[7]DONGIA!#REF!</definedName>
    <definedName name="duong5">[7]DONGIA!#REF!</definedName>
    <definedName name="EEE06REV">'[28]5-Peralatan'!$AW$13</definedName>
    <definedName name="EEE09REV1">'[28]5-Peralatan'!$AW$16</definedName>
    <definedName name="EEE17REV">'[28]5-Peralatan'!$AW$24</definedName>
    <definedName name="EEE17REV1">'[28]5-Peralatan'!$AW$24</definedName>
    <definedName name="esc">#REF!</definedName>
    <definedName name="EXCAVATOR">#REF!</definedName>
    <definedName name="EXCAVATOR311">#REF!</definedName>
    <definedName name="EXCAVATOR312">#REF!</definedName>
    <definedName name="EXCAVATOR321">#REF!</definedName>
    <definedName name="Excel_BuiltIn_Print_Area">#REF!</definedName>
    <definedName name="Excel_BuiltIn_Print_Titles">#REF!</definedName>
    <definedName name="exrate">#REF!</definedName>
    <definedName name="f">#REF!</definedName>
    <definedName name="F.01a">[19]ANALISA!$H$651</definedName>
    <definedName name="F.22">[19]ANALISA!$H$664</definedName>
    <definedName name="F.23">[19]ANALISA!$H$674</definedName>
    <definedName name="F.26">[19]ANALISA!$H$684</definedName>
    <definedName name="F.37">[19]ANALISA!$H$736</definedName>
    <definedName name="f92F56">[7]dtxl!#REF!</definedName>
    <definedName name="Fender_Karet">[23]HARGA!$D$40</definedName>
    <definedName name="FINISHER">#REF!</definedName>
    <definedName name="fk">[29]AHSP!$P$22</definedName>
    <definedName name="FLATBEDTRUCK">#REF!</definedName>
    <definedName name="FORM21">'[4]Analisa Harga'!#REF!</definedName>
    <definedName name="FORM22E">'[4]Analisa Harga'!#REF!</definedName>
    <definedName name="FORM231">'[4]Analisa Harga'!#REF!</definedName>
    <definedName name="FORM232">'[4]Analisa Harga'!#REF!</definedName>
    <definedName name="FORM233">'[4]Analisa Harga'!#REF!</definedName>
    <definedName name="Form234">'[4]Analisa Harga'!#REF!</definedName>
    <definedName name="Form235">'[4]Analisa Harga'!#REF!</definedName>
    <definedName name="FORM242">'[4]Analisa Harga'!#REF!</definedName>
    <definedName name="FORM243">'[4]Analisa Harga'!#REF!</definedName>
    <definedName name="FORM311">'[30]3-DIV3'!$L$1:$V$61</definedName>
    <definedName name="FORM312">'[30]3-DIV3'!$L$121:$V$181</definedName>
    <definedName name="FORM313">'[30]3-DIV3'!$L$255:$V$315</definedName>
    <definedName name="FORM314">'[30]3-DIV3'!$L$375:$V$435</definedName>
    <definedName name="FORM315">'[30]3-DIV3'!$L$1766:$V$1826</definedName>
    <definedName name="FORM319">'[30]3-DIV3'!$L$1886:$V$1946</definedName>
    <definedName name="FORM322">'[30]3-DIV3'!$L$1947:$V$2007</definedName>
    <definedName name="FORM323">'[30]3-DIV3'!$L$2126:$V$2186</definedName>
    <definedName name="FORM323L">#REF!</definedName>
    <definedName name="FORM324">'[30]3-DIV3'!$L$2305:$V$2365</definedName>
    <definedName name="FORM331">'[30]3-DIV3'!$L$2427:$V$2487</definedName>
    <definedName name="FORM346">'[30]3-DIV3'!$L$2547:$V$2607</definedName>
    <definedName name="FORM421">'[31]3-DIV4'!$L$1:$V$61</definedName>
    <definedName name="FORM422">[16]Analisa!#REF!</definedName>
    <definedName name="FORM423">[16]Analisa!#REF!</definedName>
    <definedName name="FORM424">[16]Analisa!#REF!</definedName>
    <definedName name="FORM425">'[31]3-DIV4'!$L$718:$V$778</definedName>
    <definedName name="FORM426">'[31]3-DIV4'!$L$897:$V$957</definedName>
    <definedName name="FORM427">[16]Analisa!#REF!</definedName>
    <definedName name="FORM511">'[32]3-DIV5'!$L$1:$V$61</definedName>
    <definedName name="FORM512">'[32]3-DIV5'!$L$180:$V$240</definedName>
    <definedName name="FORM521">'[32]3-DIV5'!$L$359:$V$419</definedName>
    <definedName name="FORM522">'[32]3-DIV5'!$L$3075:$V$3135</definedName>
    <definedName name="FORM541">'[32]3-DIV5'!$L$3254:$V$3314</definedName>
    <definedName name="FORM542">'[32]3-DIV5'!$L$3374:$V$3434</definedName>
    <definedName name="FORM611">#REF!</definedName>
    <definedName name="FORM612">#REF!</definedName>
    <definedName name="FORM621">#REF!</definedName>
    <definedName name="FORM622">#REF!</definedName>
    <definedName name="FORM623">#REF!</definedName>
    <definedName name="FORM631">#REF!</definedName>
    <definedName name="FORM632">#REF!</definedName>
    <definedName name="FORM633">#REF!</definedName>
    <definedName name="FORM634">#REF!</definedName>
    <definedName name="FORM635">#REF!</definedName>
    <definedName name="FORM635A">#REF!</definedName>
    <definedName name="FORM636">#REF!</definedName>
    <definedName name="FORM641L">#REF!</definedName>
    <definedName name="FORM642">#REF!</definedName>
    <definedName name="FORM65">#REF!</definedName>
    <definedName name="FORM66PERATA">#REF!</definedName>
    <definedName name="FORM66PERMUKAAN">#REF!</definedName>
    <definedName name="FORM7101">#REF!</definedName>
    <definedName name="FORM7102">#REF!</definedName>
    <definedName name="FORM7103">#REF!</definedName>
    <definedName name="FORM711">#REF!</definedName>
    <definedName name="FORM712">#REF!</definedName>
    <definedName name="FORM713">#REF!</definedName>
    <definedName name="FORM714">#REF!</definedName>
    <definedName name="FORM715">#REF!</definedName>
    <definedName name="FORM716">#REF!</definedName>
    <definedName name="FORM717">#REF!</definedName>
    <definedName name="FORM718">#REF!</definedName>
    <definedName name="FORM721">#REF!</definedName>
    <definedName name="FORM731">#REF!</definedName>
    <definedName name="FORM732">#REF!</definedName>
    <definedName name="FORM733">#REF!</definedName>
    <definedName name="FORM734">#REF!</definedName>
    <definedName name="FORM735">#REF!</definedName>
    <definedName name="FORM744">#REF!</definedName>
    <definedName name="FORM745">#REF!</definedName>
    <definedName name="FORM7610">#REF!</definedName>
    <definedName name="FORM7612a">#REF!</definedName>
    <definedName name="FORM7612b">#REF!</definedName>
    <definedName name="FORM7612c">#REF!</definedName>
    <definedName name="FORM7613a">#REF!</definedName>
    <definedName name="FORM7613b">#REF!</definedName>
    <definedName name="FORM7613c">#REF!</definedName>
    <definedName name="FORM7614a">#REF!</definedName>
    <definedName name="FORM7614b">#REF!</definedName>
    <definedName name="FORM7614c">#REF!</definedName>
    <definedName name="FORM7614d">#REF!</definedName>
    <definedName name="FORM7614e">#REF!</definedName>
    <definedName name="FORM7618">#REF!</definedName>
    <definedName name="FORM7619">#REF!</definedName>
    <definedName name="FORM768">#REF!</definedName>
    <definedName name="FORM769">#REF!</definedName>
    <definedName name="FORM76X">#REF!</definedName>
    <definedName name="FORM771a">#REF!</definedName>
    <definedName name="FORM771b">#REF!</definedName>
    <definedName name="FORM771c">#REF!</definedName>
    <definedName name="FORM771d">#REF!</definedName>
    <definedName name="FORM772a">#REF!</definedName>
    <definedName name="FORM772b">#REF!</definedName>
    <definedName name="FORM772c">#REF!</definedName>
    <definedName name="FORM772d">#REF!</definedName>
    <definedName name="FORM79manual">#REF!</definedName>
    <definedName name="FORM79mekanis">#REF!</definedName>
    <definedName name="FORM811">#REF!</definedName>
    <definedName name="FORM812">#REF!</definedName>
    <definedName name="FORM813">#REF!</definedName>
    <definedName name="FORM814">#REF!</definedName>
    <definedName name="FORM815">#REF!</definedName>
    <definedName name="FORM817">#REF!</definedName>
    <definedName name="FORM818">#REF!</definedName>
    <definedName name="FORM819">#REF!</definedName>
    <definedName name="FORM82">#REF!</definedName>
    <definedName name="FORM841">#REF!</definedName>
    <definedName name="FORM8410">#REF!</definedName>
    <definedName name="FORM842">#REF!</definedName>
    <definedName name="FORM844">#REF!</definedName>
    <definedName name="FORM845">#REF!</definedName>
    <definedName name="FORM846">#REF!</definedName>
    <definedName name="FORM847">#REF!</definedName>
    <definedName name="FORM910">#REF!</definedName>
    <definedName name="FORM911">#REF!</definedName>
    <definedName name="FORM912">#REF!</definedName>
    <definedName name="FORM913">#REF!</definedName>
    <definedName name="FORM914">#REF!</definedName>
    <definedName name="FORM915">#REF!</definedName>
    <definedName name="FORM916">#REF!</definedName>
    <definedName name="FORM917">#REF!</definedName>
    <definedName name="FORM918">#REF!</definedName>
    <definedName name="FORM919">#REF!</definedName>
    <definedName name="FORM920">#REF!</definedName>
    <definedName name="FORM94">#REF!</definedName>
    <definedName name="FORM95">#REF!</definedName>
    <definedName name="FORM96">#REF!</definedName>
    <definedName name="FORM97">#REF!</definedName>
    <definedName name="FORM98">#REF!</definedName>
    <definedName name="FORM99">#REF!</definedName>
    <definedName name="FORMGEOTEKSTIL">#REF!</definedName>
    <definedName name="FRRDS">#REF!</definedName>
    <definedName name="FULVIMIXER">#REF!</definedName>
    <definedName name="G.02">[19]ANALISA!$H$272</definedName>
    <definedName name="G.32h">[19]ANALISA!$H$296</definedName>
    <definedName name="G.32l">[19]ANALISA!$H$307</definedName>
    <definedName name="G.41b">[19]ANALISA!$H$377</definedName>
    <definedName name="G.41c">[19]ANALISA!$H$390</definedName>
    <definedName name="G.43a">[19]ANALISA!#REF!</definedName>
    <definedName name="G.43b">[19]ANALISA!#REF!</definedName>
    <definedName name="G.44">[19]ANALISA!$H$566</definedName>
    <definedName name="G.50h">[19]ANALISA!$H$577</definedName>
    <definedName name="G.50q">[19]ANALISA!$H$597</definedName>
    <definedName name="gem">[29]AHSP!$V$179</definedName>
    <definedName name="Gen">#REF!</definedName>
    <definedName name="genset">[23]HARGA!$D$90</definedName>
    <definedName name="gl3p">#REF!</definedName>
    <definedName name="GRADER">#REF!</definedName>
    <definedName name="h">#REF!</definedName>
    <definedName name="H.06">[19]ANALISA!$H$746</definedName>
    <definedName name="H_MOB">#REF!</definedName>
    <definedName name="hammer">[23]HARGA!$D$81</definedName>
    <definedName name="HAPUS">#REF!</definedName>
    <definedName name="HASIL">#REF!</definedName>
    <definedName name="Heä_soá_laép_xaø_H">1.7</definedName>
    <definedName name="heä_soá_sình_laày">#REF!</definedName>
    <definedName name="HH15HT">[7]TONGKE_HT!#REF!</definedName>
    <definedName name="HH16HT">[7]TONGKE_HT!#REF!</definedName>
    <definedName name="HH19HT">[7]TONGKE_HT!#REF!</definedName>
    <definedName name="HH20HT">[7]TONGKE_HT!#REF!</definedName>
    <definedName name="hid">[29]AHSP!$V$154</definedName>
    <definedName name="HSCT3">0.1</definedName>
    <definedName name="hsdc1">#REF!</definedName>
    <definedName name="HSDD">[7]phuluc1!#REF!</definedName>
    <definedName name="HSDN">2.5</definedName>
    <definedName name="HSHH">#REF!</definedName>
    <definedName name="HSHHUT">#REF!</definedName>
    <definedName name="hskk1">[7]chitiet!$D$4</definedName>
    <definedName name="HSNC">[26]Du_lieu!$C$6</definedName>
    <definedName name="HSSL">#REF!</definedName>
    <definedName name="HSVC1">#REF!</definedName>
    <definedName name="HSVC2">#REF!</definedName>
    <definedName name="HSVC3">#REF!</definedName>
    <definedName name="HT">#REF!</definedName>
    <definedName name="ht25nc">[7]lam_moi!#REF!</definedName>
    <definedName name="ht25vl">[7]lam_moi!#REF!</definedName>
    <definedName name="ht325nc">[7]lam_moi!#REF!</definedName>
    <definedName name="ht325vl">[7]lam_moi!#REF!</definedName>
    <definedName name="ht37k">[7]lam_moi!#REF!</definedName>
    <definedName name="ht37nc">[7]lam_moi!#REF!</definedName>
    <definedName name="ht50nc">[7]lam_moi!#REF!</definedName>
    <definedName name="ht50vl">[7]lam_moi!#REF!</definedName>
    <definedName name="HTNC">#REF!</definedName>
    <definedName name="HTVL">#REF!</definedName>
    <definedName name="I.2b.polos">[19]ANALISA!$H$427</definedName>
    <definedName name="I2É6">[7]chitimc!#REF!</definedName>
    <definedName name="j">#REF!</definedName>
    <definedName name="JACKHAMMER">#REF!</definedName>
    <definedName name="k">#REF!</definedName>
    <definedName name="k2b">'[7]THPDMoi  _2_'!#REF!</definedName>
    <definedName name="KacaRayben_5MM">[23]HARGA!$D$58</definedName>
    <definedName name="Kawat_Beton">[23]HARGA!$D$52</definedName>
    <definedName name="Kawat_Las">[23]HARGA!$D$54</definedName>
    <definedName name="Kayu_Klas_II">[23]HARGA!$D$59</definedName>
    <definedName name="Kayu_Meuranti">[23]HARGA!$D$61</definedName>
    <definedName name="Kayu_Seumantok">[23]HARGA!$D$60</definedName>
    <definedName name="kep.tukang">[23]HARGA!$D$16</definedName>
    <definedName name="keramik">[23]HARGA!$D$39</definedName>
    <definedName name="kerikil">[23]HARGA!$D$28</definedName>
    <definedName name="KHHK">[25]Menu!#REF!</definedName>
    <definedName name="kjkjklj">#REF!</definedName>
    <definedName name="kldd1p">[7]_REF!#REF!</definedName>
    <definedName name="kldd3p">[7]lam_moi!#REF!</definedName>
    <definedName name="klkk">#REF!</definedName>
    <definedName name="kmong">[7]giathanh1!#REF!</definedName>
    <definedName name="kp1ph">#REF!</definedName>
    <definedName name="KPL_ANAL">[1]A!$W$10:$AD$13</definedName>
    <definedName name="KT">#REF!</definedName>
    <definedName name="l">#REF!</definedName>
    <definedName name="LAINLAIN">'[4]daftar kuantitas'!#REF!</definedName>
    <definedName name="lapisanaus">[23]HARGA!$D$37</definedName>
    <definedName name="LL">[25]Menu!#REF!</definedName>
    <definedName name="Lmk">#REF!</definedName>
    <definedName name="m">#REF!</definedName>
    <definedName name="m102bnnc">[7]lam_moi!#REF!</definedName>
    <definedName name="m102bnvl">[7]lam_moi!#REF!</definedName>
    <definedName name="M10aa1p">#REF!</definedName>
    <definedName name="m10aamtc">'[7]t_h HA THE'!#REF!</definedName>
    <definedName name="m10aanc">[7]lam_moi!#REF!</definedName>
    <definedName name="m10aavl">[7]lam_moi!#REF!</definedName>
    <definedName name="m10anc">[7]lam_moi!#REF!</definedName>
    <definedName name="m10avl">[7]lam_moi!#REF!</definedName>
    <definedName name="m10banc">[7]lam_moi!#REF!</definedName>
    <definedName name="m10bavl">[7]lam_moi!#REF!</definedName>
    <definedName name="m122bnnc">[7]lam_moi!#REF!</definedName>
    <definedName name="m122bnvl">[7]lam_moi!#REF!</definedName>
    <definedName name="m12aanc">[7]lam_moi!#REF!</definedName>
    <definedName name="m12aavl">[7]lam_moi!#REF!</definedName>
    <definedName name="m12anc">[7]lam_moi!#REF!</definedName>
    <definedName name="m12avl">[7]lam_moi!#REF!</definedName>
    <definedName name="M12ba3p">#REF!</definedName>
    <definedName name="m12banc">[7]lam_moi!#REF!</definedName>
    <definedName name="m12bavl">[7]lam_moi!#REF!</definedName>
    <definedName name="M12bb1p">#REF!</definedName>
    <definedName name="m12bbnc">[7]lam_moi!#REF!</definedName>
    <definedName name="m12bbvl">[7]lam_moi!#REF!</definedName>
    <definedName name="M12bnnc">[7]_REF!#REF!</definedName>
    <definedName name="M12bnvl">[7]_REF!#REF!</definedName>
    <definedName name="M12cbnc">#REF!</definedName>
    <definedName name="M12cbvl">#REF!</definedName>
    <definedName name="m142bnnc">[7]lam_moi!#REF!</definedName>
    <definedName name="m142bnvl">[7]lam_moi!#REF!</definedName>
    <definedName name="M14bb1p">#REF!</definedName>
    <definedName name="m14bbnc">[7]lam_moi!#REF!</definedName>
    <definedName name="M14bbvc">'[7]CHITIET VL_NC_TT _1p'!#REF!</definedName>
    <definedName name="m14bbvl">[7]lam_moi!#REF!</definedName>
    <definedName name="M8a">'[7]THPDMoi  _2_'!#REF!</definedName>
    <definedName name="M8aa">'[7]THPDMoi  _2_'!#REF!</definedName>
    <definedName name="m8aanc">#REF!</definedName>
    <definedName name="m8aavl">#REF!</definedName>
    <definedName name="m8amtc">'[7]t_h HA THE'!#REF!</definedName>
    <definedName name="m8anc">[7]lam_moi!#REF!</definedName>
    <definedName name="m8avl">[7]lam_moi!#REF!</definedName>
    <definedName name="Ma3pnc">#REF!</definedName>
    <definedName name="Ma3pvl">#REF!</definedName>
    <definedName name="Maa3pnc">#REF!</definedName>
    <definedName name="Maa3pvl">#REF!</definedName>
    <definedName name="mandor">[23]HARGA!$D$14</definedName>
    <definedName name="MANDOR311">#REF!</definedName>
    <definedName name="MANDOR312">#REF!</definedName>
    <definedName name="MANDOR33">#REF!</definedName>
    <definedName name="MANDOR511">#REF!</definedName>
    <definedName name="MANDOR512">#REF!</definedName>
    <definedName name="MANDOR521">#REF!</definedName>
    <definedName name="MANDOR611">#REF!</definedName>
    <definedName name="MANDOR753">#REF!</definedName>
    <definedName name="MANDOR818">#REF!</definedName>
    <definedName name="MANDOR819">#REF!</definedName>
    <definedName name="Mba1p">#REF!</definedName>
    <definedName name="Mba3p">#REF!</definedName>
    <definedName name="Mbb3p">#REF!</definedName>
    <definedName name="Mbn1p">#REF!</definedName>
    <definedName name="mbnc">[7]lam_moi!#REF!</definedName>
    <definedName name="mbvl">[7]lam_moi!#REF!</definedName>
    <definedName name="Mekhanik___Supir">[23]HARGA!$D$18</definedName>
    <definedName name="mesinlas">[23]HARGA!$D$89</definedName>
    <definedName name="mmm">[7]giathanh1!#REF!</definedName>
    <definedName name="molen">[23]HARGA!$D$92</definedName>
    <definedName name="MOTORGRADER321">#REF!</definedName>
    <definedName name="MOTORGRADER33">#REF!</definedName>
    <definedName name="MOTORGRADER511">#REF!</definedName>
    <definedName name="MOTORGRADER512">#REF!</definedName>
    <definedName name="MOTORGRADER521">#REF!</definedName>
    <definedName name="mp1x25">'[7]dongia _2_'!#REF!</definedName>
    <definedName name="MTC1P">'[7]TONG HOP VL_NC TT'!#REF!</definedName>
    <definedName name="MTC3P">'[7]TONG HOP VL_NC TT'!#REF!</definedName>
    <definedName name="MTCHC">[7]TNHCHINH!$K$38</definedName>
    <definedName name="MTCMB">[7]_REF!#REF!</definedName>
    <definedName name="MTMAC12">#REF!</definedName>
    <definedName name="mtr">'[7]TH XL'!#REF!</definedName>
    <definedName name="mtram">#REF!</definedName>
    <definedName name="Multiplek_12MM">[23]HARGA!$D$65</definedName>
    <definedName name="Multiplek_6MM">[23]HARGA!$D$64</definedName>
    <definedName name="n">#REF!</definedName>
    <definedName name="N_1011">#REF!</definedName>
    <definedName name="N_1013">#REF!</definedName>
    <definedName name="N_12">#REF!</definedName>
    <definedName name="N_22">#REF!</definedName>
    <definedName name="N_233">#REF!</definedName>
    <definedName name="N_321">#REF!</definedName>
    <definedName name="N_33">#REF!</definedName>
    <definedName name="N_34">#REF!</definedName>
    <definedName name="N_511">#REF!</definedName>
    <definedName name="N_74">#REF!</definedName>
    <definedName name="N_753">#REF!</definedName>
    <definedName name="N1IN">'[7]TONGKE3p '!$U$295</definedName>
    <definedName name="n1pig">#REF!</definedName>
    <definedName name="n1pignc">[7]lam_moi!#REF!</definedName>
    <definedName name="n1pigvl">[7]lam_moi!#REF!</definedName>
    <definedName name="n1pind">#REF!</definedName>
    <definedName name="n1pindnc">[7]lam_moi!#REF!</definedName>
    <definedName name="n1pindvl">[7]lam_moi!#REF!</definedName>
    <definedName name="n1ping">#REF!</definedName>
    <definedName name="n1pingnc">[7]lam_moi!#REF!</definedName>
    <definedName name="n1pingvl">[7]lam_moi!#REF!</definedName>
    <definedName name="n1pint">#REF!</definedName>
    <definedName name="n1pintnc">[7]lam_moi!#REF!</definedName>
    <definedName name="n1pintvl">[7]lam_moi!#REF!</definedName>
    <definedName name="n24nc">[7]lam_moi!#REF!</definedName>
    <definedName name="n24vl">[7]lam_moi!#REF!</definedName>
    <definedName name="n2mignc">[7]lam_moi!#REF!</definedName>
    <definedName name="n2migvl">[7]lam_moi!#REF!</definedName>
    <definedName name="n2min1nc">[7]lam_moi!#REF!</definedName>
    <definedName name="n2min1vl">[7]lam_moi!#REF!</definedName>
    <definedName name="nc1nc">[7]lam_moi!#REF!</definedName>
    <definedName name="nc1p">#REF!</definedName>
    <definedName name="nc1vl">[7]lam_moi!#REF!</definedName>
    <definedName name="nc24nc">[7]lam_moi!#REF!</definedName>
    <definedName name="nc24vl">[7]lam_moi!#REF!</definedName>
    <definedName name="nc3p">#REF!</definedName>
    <definedName name="NCBD100">#REF!</definedName>
    <definedName name="NCBD200">#REF!</definedName>
    <definedName name="NCBD250">#REF!</definedName>
    <definedName name="ncdd">'[7]TH XL'!#REF!</definedName>
    <definedName name="NCDD2">'[7]TH XL'!#REF!</definedName>
    <definedName name="NCHC">[7]TNHCHINH!$J$38</definedName>
    <definedName name="nctr">'[7]TH XL'!#REF!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hn">#REF!</definedName>
    <definedName name="nhnnc">[7]lam_moi!#REF!</definedName>
    <definedName name="nhnvl">[7]lam_moi!#REF!</definedName>
    <definedName name="nig">#REF!</definedName>
    <definedName name="NIG13p">'[7]TONGKE3p '!$T$295</definedName>
    <definedName name="nig1p">#REF!</definedName>
    <definedName name="nig3p">#REF!</definedName>
    <definedName name="nightnc">[7]gtrinh!#REF!</definedName>
    <definedName name="nightvl">[7]gtrinh!#REF!</definedName>
    <definedName name="nignc1p">#REF!</definedName>
    <definedName name="nignc3p">'[7]CHITIET VL_NC'!$G$107</definedName>
    <definedName name="nigvl1p">#REF!</definedName>
    <definedName name="nigvl3p">'[7]CHITIET VL_NC'!$G$99</definedName>
    <definedName name="nin">#REF!</definedName>
    <definedName name="nin14nc3p">#REF!</definedName>
    <definedName name="nin14vl3p">#REF!</definedName>
    <definedName name="nin1903p">#REF!</definedName>
    <definedName name="nin190nc">[7]lam_moi!#REF!</definedName>
    <definedName name="nin190nc3p">#REF!</definedName>
    <definedName name="nin190vl">[7]lam_moi!#REF!</definedName>
    <definedName name="nin190vl3p">#REF!</definedName>
    <definedName name="nin1pnc">[7]lam_moi!#REF!</definedName>
    <definedName name="nin1pvl">[7]lam_moi!#REF!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">[7]lam_moi!#REF!</definedName>
    <definedName name="nindnc1p">#REF!</definedName>
    <definedName name="nindnc3p">#REF!</definedName>
    <definedName name="nindvl">[7]lam_moi!#REF!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">[7]lam_moi!#REF!</definedName>
    <definedName name="ninnc3p">#REF!</definedName>
    <definedName name="nint1p">#REF!</definedName>
    <definedName name="nintnc1p">#REF!</definedName>
    <definedName name="nintvl1p">#REF!</definedName>
    <definedName name="ninvl">[7]lam_moi!#REF!</definedName>
    <definedName name="ninvl3p">#REF!</definedName>
    <definedName name="nl">#REF!</definedName>
    <definedName name="NL12nc">[7]_REF!#REF!</definedName>
    <definedName name="NL12vl">[7]_REF!#REF!</definedName>
    <definedName name="nl1p">#REF!</definedName>
    <definedName name="nl3p">#REF!</definedName>
    <definedName name="nlht">'[7]THPDMoi  _2_'!#REF!</definedName>
    <definedName name="nlmtc">'[7]t_h HA THE'!#REF!</definedName>
    <definedName name="nlnc">[7]lam_moi!#REF!</definedName>
    <definedName name="nlnc3p">#REF!</definedName>
    <definedName name="nlnc3pha">#REF!</definedName>
    <definedName name="NLTK1p">#REF!</definedName>
    <definedName name="nlvl">[7]lam_moi!#REF!</definedName>
    <definedName name="nlvl1">[7]chitiet!$G$302</definedName>
    <definedName name="nlvl3p">#REF!</definedName>
    <definedName name="nn">#REF!</definedName>
    <definedName name="nn1p">#REF!</definedName>
    <definedName name="nn3p">#REF!</definedName>
    <definedName name="nnnc">[7]lam_moi!#REF!</definedName>
    <definedName name="nnnc3p">#REF!</definedName>
    <definedName name="nnvl">[7]lam_moi!#REF!</definedName>
    <definedName name="nnvl3p">#REF!</definedName>
    <definedName name="nokmetal">[23]HARGA!$D$55</definedName>
    <definedName name="nuoc">[27]gvl!$N$38</definedName>
    <definedName name="nx">'[7]THPDMoi  _2_'!#REF!</definedName>
    <definedName name="nxmtc">'[7]t_h HA THE'!#REF!</definedName>
    <definedName name="oli">[29]AHSP!$V$153</definedName>
    <definedName name="operator">[23]HARGA!$D$17</definedName>
    <definedName name="osc">'[7]THPDMoi  _2_'!#REF!</definedName>
    <definedName name="P">#REF!</definedName>
    <definedName name="Paku_Asbes">[23]HARGA!$D$48</definedName>
    <definedName name="Paku_Genteng_Metal">[23]HARGA!$D$51</definedName>
    <definedName name="Paku_Kayu">[23]HARGA!$D$49</definedName>
    <definedName name="Pasir_Cor___Pasangan">[23]HARGA!$D$27</definedName>
    <definedName name="pc">[23]HARGA!$D$34</definedName>
    <definedName name="PEDESTRIAN818">#REF!</definedName>
    <definedName name="PEDESTRIANROLLER">#REF!</definedName>
    <definedName name="pekerja">[23]HARGA!$D$13</definedName>
    <definedName name="PEKERJA311">#REF!</definedName>
    <definedName name="PEKERJA312">#REF!</definedName>
    <definedName name="PEKERJA33">#REF!</definedName>
    <definedName name="PEKERJA511">#REF!</definedName>
    <definedName name="PEKERJA512">#REF!</definedName>
    <definedName name="PEKERJA521">#REF!</definedName>
    <definedName name="PEKERJA611">#REF!</definedName>
    <definedName name="PEKERJA753">#REF!</definedName>
    <definedName name="PEKERJA818">#REF!</definedName>
    <definedName name="PEKERJA819">#REF!</definedName>
    <definedName name="Pembongkaran">[33]NP!$L$841:$V$901</definedName>
    <definedName name="Penyelam">[23]HARGA!$D$21</definedName>
    <definedName name="Perahu___Boat">[23]HARGA!$D$87</definedName>
    <definedName name="Perancah">[19]ANALISA!#REF!</definedName>
    <definedName name="PipaBeton_450">[23]HARGA!$D$45</definedName>
    <definedName name="PlamurTembok">[23]HARGA!$D$70</definedName>
    <definedName name="ponton">[23]HARGA!$D$79</definedName>
    <definedName name="_xlnm.Print_Area" localSheetId="3">Budget!$A$1:$L$232</definedName>
    <definedName name="_xlnm.Print_Area" localSheetId="7">'Pekerjaan Sub'!$A$1:$I$32</definedName>
    <definedName name="_xlnm.Print_Area" localSheetId="2">'Rekap Budget'!$A$1:$I$33</definedName>
    <definedName name="_xlnm.Print_Area" localSheetId="4">'Rekap mingguan'!$A$1:$E$47</definedName>
    <definedName name="_xlnm.Print_Area" localSheetId="5">'Rincian harian MC0'!$A$1:$G$1611</definedName>
    <definedName name="_xlnm.Print_Titles" localSheetId="3">Budget!$1:$6</definedName>
    <definedName name="_xlnm.Print_Titles" localSheetId="0">'Budget Details'!$3:$3</definedName>
    <definedName name="_xlnm.Print_Titles" localSheetId="5">'Rincian harian MC0'!$1:$4</definedName>
    <definedName name="_xlnm.Print_Titles">#REF!</definedName>
    <definedName name="propyline">[23]HARGA!$D$36</definedName>
    <definedName name="PTJW">#REF!</definedName>
    <definedName name="PTNC">'[10]DON GIA'!$G$227</definedName>
    <definedName name="PUSAT">'[21]LS-Rutin'!$D$12</definedName>
    <definedName name="Q">[10]giathanh1!#REF!</definedName>
    <definedName name="ra11p">#REF!</definedName>
    <definedName name="ra13p">#REF!</definedName>
    <definedName name="rack1">'[10]THPDMoi  _2_'!#REF!</definedName>
    <definedName name="rack2">'[10]THPDMoi  _2_'!#REF!</definedName>
    <definedName name="rack3">'[10]THPDMoi  _2_'!#REF!</definedName>
    <definedName name="rack4">'[10]THPDMoi  _2_'!#REF!</definedName>
    <definedName name="Rate">#REF!</definedName>
    <definedName name="RFGEG">[16]Analisa!#REF!</definedName>
    <definedName name="RINCIANSEWA">#REF!</definedName>
    <definedName name="RINCIANSEWA2">#REF!</definedName>
    <definedName name="RKP">[1]A!$AP$1:$AS$59</definedName>
    <definedName name="RUTIN">'[4]daftar kuantitas'!#REF!</definedName>
    <definedName name="Satuan">#REF!</definedName>
    <definedName name="sd3p">[10]lam_moi!#REF!</definedName>
    <definedName name="SDMONG">#REF!</definedName>
    <definedName name="SDUL">[16]Analisa!#REF!</definedName>
    <definedName name="Sell">#REF!</definedName>
    <definedName name="Semen_Putih">[23]HARGA!$D$35</definedName>
    <definedName name="sengplat">[23]HARGA!$D$56</definedName>
    <definedName name="sgnc">[10]gtrinh!#REF!</definedName>
    <definedName name="sgvl">[10]gtrinh!#REF!</definedName>
    <definedName name="sht">'[10]THPDMoi  _2_'!#REF!</definedName>
    <definedName name="sht3p">[10]lam_moi!#REF!</definedName>
    <definedName name="SIDL2">'[4]daftar kuantitas'!#REF!</definedName>
    <definedName name="SIDUL">'[34]Kuantitas &amp; Harga'!$G$27</definedName>
    <definedName name="SL_CRD">#REF!</definedName>
    <definedName name="SL_CRS">#REF!</definedName>
    <definedName name="SL_CS">#REF!</definedName>
    <definedName name="SL_DD">#REF!</definedName>
    <definedName name="soc3p">#REF!</definedName>
    <definedName name="sol">[29]AHSP!$V$152</definedName>
    <definedName name="spk1p">[10]_REF!#REF!</definedName>
    <definedName name="spk3p">[10]lam_moi!#REF!</definedName>
    <definedName name="Spl.IIa">[19]ANALISA!$H$173</definedName>
    <definedName name="Spl.IIc">[19]ANALISA!$H$203</definedName>
    <definedName name="Spl.IId">[19]ANALISA!$H$215</definedName>
    <definedName name="Spl.IIe">[19]ANALISA!$H$241</definedName>
    <definedName name="Spl.IIf">[19]ANALISA!$H$251</definedName>
    <definedName name="Spl.IIIa">[19]ANALISA!$H$616</definedName>
    <definedName name="Spl.IIIb">[19]ANALISA!$H$628</definedName>
    <definedName name="Spl.IIIc">[19]ANALISA!#REF!</definedName>
    <definedName name="Spl.IIId">[19]ANALISA!#REF!</definedName>
    <definedName name="Spl.IIIe">[19]ANALISA!$H$640</definedName>
    <definedName name="Spl.IXb">[19]ANALISA!$H$791</definedName>
    <definedName name="Spl.Va">[19]ANALISA!$H$486</definedName>
    <definedName name="Spl.Vb">[19]ANALISA!$H$493</definedName>
    <definedName name="Spl.Vc">[19]ANALISA!$H$501</definedName>
    <definedName name="Spl.Vd">[19]ANALISA!$H$510</definedName>
    <definedName name="Spl.Ve">[19]ANALISA!$H$519</definedName>
    <definedName name="Spl.Vf">[19]ANALISA!#REF!</definedName>
    <definedName name="Spl.Vk">[19]ANALISA!#REF!</definedName>
    <definedName name="Spl.Vl">[19]ANALISA!$H$548</definedName>
    <definedName name="Spl.Vm">[19]ANALISA!#REF!</definedName>
    <definedName name="split">[23]HARGA!$D$29</definedName>
    <definedName name="SPRAYER">#REF!</definedName>
    <definedName name="st3p">[10]lam_moi!#REF!</definedName>
    <definedName name="STONECRUSHER">#REF!</definedName>
    <definedName name="sum">#REF!</definedName>
    <definedName name="Supl.Id">[35]ANALISA!$H$53</definedName>
    <definedName name="Supl.Vg">[19]ANALISA!#REF!</definedName>
    <definedName name="Supl.Vh">[19]ANALISA!$H$534</definedName>
    <definedName name="Supl.Vi">[19]ANALISA!#REF!</definedName>
    <definedName name="surveyor">[23]HARGA!$D$19</definedName>
    <definedName name="T">#REF!</definedName>
    <definedName name="t101p">#REF!</definedName>
    <definedName name="t103p">#REF!</definedName>
    <definedName name="t105mnc">[10]thao_go!#REF!</definedName>
    <definedName name="t10m">[10]lam_moi!#REF!</definedName>
    <definedName name="t10nc">[10]lam_moi!#REF!</definedName>
    <definedName name="t10nc1p">#REF!</definedName>
    <definedName name="t10ncm">[10]lam_moi!#REF!</definedName>
    <definedName name="t10vl">[10]lam_moi!#REF!</definedName>
    <definedName name="t10vl1p">#REF!</definedName>
    <definedName name="t121p">#REF!</definedName>
    <definedName name="t123p">#REF!</definedName>
    <definedName name="t12m">[10]lam_moi!#REF!</definedName>
    <definedName name="t12mnc">[10]thao_go!#REF!</definedName>
    <definedName name="t12nc">[10]lam_moi!#REF!</definedName>
    <definedName name="t12nc3p">'[10]CHITIET VL_NC'!$G$38</definedName>
    <definedName name="t12ncm">[10]lam_moi!#REF!</definedName>
    <definedName name="t12vl">[10]lam_moi!#REF!</definedName>
    <definedName name="t12vl3p">'[10]CHITIET VL_NC'!$G$34</definedName>
    <definedName name="t141p">#REF!</definedName>
    <definedName name="t143p">#REF!</definedName>
    <definedName name="t14m">[10]lam_moi!#REF!</definedName>
    <definedName name="t14mnc">[10]thao_go!#REF!</definedName>
    <definedName name="t14nc">[10]lam_moi!#REF!</definedName>
    <definedName name="t14nc3p">#REF!</definedName>
    <definedName name="t14ncm">[10]lam_moi!#REF!</definedName>
    <definedName name="T14vc">'[10]CHITIET VL_NC_TT _1p'!#REF!</definedName>
    <definedName name="t14vl">[10]lam_moi!#REF!</definedName>
    <definedName name="t14vl3p">#REF!</definedName>
    <definedName name="T203P">[10]VC!#REF!</definedName>
    <definedName name="t20m">[10]lam_moi!#REF!</definedName>
    <definedName name="t20ncm">[10]lam_moi!#REF!</definedName>
    <definedName name="t7m">'[10]THPDMoi  _2_'!#REF!</definedName>
    <definedName name="t7nc">[10]lam_moi!#REF!</definedName>
    <definedName name="t7vl">[10]lam_moi!#REF!</definedName>
    <definedName name="t84mnc">[10]thao_go!#REF!</definedName>
    <definedName name="t8m">'[10]THPDMoi  _2_'!#REF!</definedName>
    <definedName name="t8nc">[10]lam_moi!#REF!</definedName>
    <definedName name="t8vl">[10]lam_moi!#REF!</definedName>
    <definedName name="TAMPER">#REF!</definedName>
    <definedName name="tanahurug">[23]HARGA!$D$26</definedName>
    <definedName name="TANDEMROLLER">#REF!</definedName>
    <definedName name="tanker">[23]HARGA!$D$88</definedName>
    <definedName name="tbdd1p">[10]lam_moi!#REF!</definedName>
    <definedName name="tbdd3p">[10]lam_moi!#REF!</definedName>
    <definedName name="tbddsdl">[10]lam_moi!#REF!</definedName>
    <definedName name="TBI">'[10]TH XL'!#REF!</definedName>
    <definedName name="tbtr">'[10]TH XL'!#REF!</definedName>
    <definedName name="tbtram">#REF!</definedName>
    <definedName name="TC">#REF!</definedName>
    <definedName name="TC_NHANH1">#REF!</definedName>
    <definedName name="tcxxnc">[10]thao_go!#REF!</definedName>
    <definedName name="td">'[10]THPDMoi  _2_'!#REF!</definedName>
    <definedName name="td10vl">[10]_REF!#REF!</definedName>
    <definedName name="td12nc">[10]_REF!#REF!</definedName>
    <definedName name="td1cnc">[10]lam_moi!#REF!</definedName>
    <definedName name="td1cvl">[10]lam_moi!#REF!</definedName>
    <definedName name="td1p">#REF!</definedName>
    <definedName name="TD1pnc">'[10]CHITIET VL_NC_TT _1p'!#REF!</definedName>
    <definedName name="TD1pvl">'[10]CHITIET VL_NC_TT _1p'!#REF!</definedName>
    <definedName name="td3p">#REF!</definedName>
    <definedName name="tdc84nc">[10]thao_go!#REF!</definedName>
    <definedName name="tdcnc">[10]thao_go!#REF!</definedName>
    <definedName name="tdgnc">[10]lam_moi!#REF!</definedName>
    <definedName name="tdgvl">[10]lam_moi!#REF!</definedName>
    <definedName name="tdhtnc">[10]lam_moi!#REF!</definedName>
    <definedName name="tdhtvl">[10]lam_moi!#REF!</definedName>
    <definedName name="tdnc">[10]gtrinh!#REF!</definedName>
    <definedName name="tdnc1p">#REF!</definedName>
    <definedName name="tdnc3p">'[10]CHITIET VL_NC'!$G$28</definedName>
    <definedName name="tdt1pnc">[10]gtrinh!#REF!</definedName>
    <definedName name="tdt1pvl">[10]gtrinh!#REF!</definedName>
    <definedName name="tdt2cnc">[10]lam_moi!#REF!</definedName>
    <definedName name="tdt2cvl">[10]chitiet!#REF!</definedName>
    <definedName name="tdtr2cnc">#REF!</definedName>
    <definedName name="tdtr2cvl">#REF!</definedName>
    <definedName name="tdtrnc">[10]gtrinh!#REF!</definedName>
    <definedName name="tdtrvl">[10]gtrinh!#REF!</definedName>
    <definedName name="tdvl">[10]gtrinh!#REF!</definedName>
    <definedName name="tdvl1p">#REF!</definedName>
    <definedName name="tdvl3p">'[10]CHITIET VL_NC'!$G$23</definedName>
    <definedName name="th3x15">[10]giathanh1!#REF!</definedName>
    <definedName name="ThanhXuan110">[36]KH_Q1_Q2_01!#REF!</definedName>
    <definedName name="theodolite">[23]HARGA!$D$96</definedName>
    <definedName name="THGO1pnc">#REF!</definedName>
    <definedName name="thht">#REF!</definedName>
    <definedName name="THKP160">'[10]dongia _2_'!#REF!</definedName>
    <definedName name="thkp3">#REF!</definedName>
    <definedName name="THREEWHEELROLLER">#REF!</definedName>
    <definedName name="thtr15">[10]giathanh1!#REF!</definedName>
    <definedName name="thtt">#REF!</definedName>
    <definedName name="Tiepdia">[10]Tiepdia!$1:$1048576</definedName>
    <definedName name="Tinner">[23]HARGA!$D$69</definedName>
    <definedName name="TIREROLLER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n1pinnc">[10]thao_go!#REF!</definedName>
    <definedName name="tn2mhnnc">[10]thao_go!#REF!</definedName>
    <definedName name="TNCM">'[10]CHITIET VL_NC_TT_3p'!#REF!</definedName>
    <definedName name="tnhnnc">[10]thao_go!#REF!</definedName>
    <definedName name="tnignc">[10]thao_go!#REF!</definedName>
    <definedName name="tnin190nc">[10]thao_go!#REF!</definedName>
    <definedName name="tnlnc">[10]thao_go!#REF!</definedName>
    <definedName name="tnnnc">[10]thao_go!#REF!</definedName>
    <definedName name="Total">[37]Rekapitulasi!$L$408</definedName>
    <definedName name="TR15HT">[10]TONGKE_HT!#REF!</definedName>
    <definedName name="TR16HT">[10]TONGKE_HT!#REF!</definedName>
    <definedName name="TR19HT">[10]TONGKE_HT!#REF!</definedName>
    <definedName name="tr1x15">[10]giathanh1!#REF!</definedName>
    <definedName name="TR20HT">[10]TONGKE_HT!#REF!</definedName>
    <definedName name="tr3x100">'[10]dongia _2_'!#REF!</definedName>
    <definedName name="TRACKLOADER">#REF!</definedName>
    <definedName name="tram100">'[10]dongia _2_'!#REF!</definedName>
    <definedName name="tram1x25">'[10]dongia _2_'!#REF!</definedName>
    <definedName name="tran">[29]AHSP!$V$180</definedName>
    <definedName name="Trowel">[23]HARGA!$D$95</definedName>
    <definedName name="tru10mtc">'[10]t_h HA THE'!#REF!</definedName>
    <definedName name="tru8mtc">'[10]t_h HA THE'!#REF!</definedName>
    <definedName name="TT_1P">#REF!</definedName>
    <definedName name="TT_3p">#REF!</definedName>
    <definedName name="tt1pnc">[10]lam_moi!#REF!</definedName>
    <definedName name="tt1pvl">[10]lam_moi!#REF!</definedName>
    <definedName name="tt3pnc">[10]lam_moi!#REF!</definedName>
    <definedName name="tt3pvl">[10]lam_moi!#REF!</definedName>
    <definedName name="TTDD">[10]TDTKP!$E$44+[10]TDTKP!$F$44+[10]TDTKP!$G$44</definedName>
    <definedName name="TTDD3P">[10]TDTKP1!#REF!</definedName>
    <definedName name="TTDDCT3p">[10]TDTKP1!#REF!</definedName>
    <definedName name="TTK3p">'[10]TONGKE3p '!$C$295</definedName>
    <definedName name="ttronmk">#REF!</definedName>
    <definedName name="tukang">[23]HARGA!$D$15</definedName>
    <definedName name="Tukang_Las">[23]HARGA!$D$20</definedName>
    <definedName name="TUKANG753">#REF!</definedName>
    <definedName name="tv75nc">#REF!</definedName>
    <definedName name="tv75vl">#REF!</definedName>
    <definedName name="tx1pignc">[10]thao_go!#REF!</definedName>
    <definedName name="tx1pindnc">[10]thao_go!#REF!</definedName>
    <definedName name="tx1pingnc">[10]thao_go!#REF!</definedName>
    <definedName name="tx1pintnc">[10]thao_go!#REF!</definedName>
    <definedName name="tx1pitnc">[10]thao_go!#REF!</definedName>
    <definedName name="tx2mhnnc">[10]thao_go!#REF!</definedName>
    <definedName name="tx2mitnc">[10]thao_go!#REF!</definedName>
    <definedName name="txhnnc">[10]thao_go!#REF!</definedName>
    <definedName name="txig1nc">[10]thao_go!#REF!</definedName>
    <definedName name="txin190nc">[10]thao_go!#REF!</definedName>
    <definedName name="txinnc">[10]thao_go!#REF!</definedName>
    <definedName name="txit1nc">[10]thao_go!#REF!</definedName>
    <definedName name="URAIAN21">'[4]Analisa Harga'!#REF!</definedName>
    <definedName name="URAIAN22E">'[4]Analisa Harga'!#REF!</definedName>
    <definedName name="URAIAN231">'[4]Analisa Harga'!#REF!</definedName>
    <definedName name="URAIAN232">'[4]Analisa Harga'!#REF!</definedName>
    <definedName name="URAIAN233">'[4]Analisa Harga'!#REF!</definedName>
    <definedName name="Uraian234">'[4]Analisa Harga'!#REF!</definedName>
    <definedName name="URAIAN242">'[4]Analisa Harga'!#REF!</definedName>
    <definedName name="URAIAN243">'[4]Analisa Harga'!#REF!</definedName>
    <definedName name="Uraian311">'[30]3-DIV3'!$A$1:$J$120</definedName>
    <definedName name="Uraian312">'[30]3-DIV3'!$A$121:$J$240</definedName>
    <definedName name="Uraian313">'[30]3-DIV3'!$A$255:$J$374</definedName>
    <definedName name="Uraian314">'[30]3-DIV3'!$A$375:$J$494</definedName>
    <definedName name="Uraian315">'[30]3-DIV3'!$A$1766:$J$1885</definedName>
    <definedName name="Uraian319">'[30]3-DIV3'!$A$1886:$J$1946</definedName>
    <definedName name="Uraian322">'[30]3-DIV3'!$A$1947:$J$2127</definedName>
    <definedName name="Uraian323">'[30]3-DIV3'!$A$2128:$J$2306</definedName>
    <definedName name="URAIAN323L">#REF!</definedName>
    <definedName name="Uraian324">'[30]3-DIV3'!$A$2307:$J$2428</definedName>
    <definedName name="Uraian331">'[30]3-DIV3'!$A$2429:$J$2548</definedName>
    <definedName name="Uraian346">'[30]3-DIV3'!$A$2549:$J$2609</definedName>
    <definedName name="URAIAN421">[16]Analisa!#REF!</definedName>
    <definedName name="URAIAN422">[16]Analisa!#REF!</definedName>
    <definedName name="URAIAN423">[16]Analisa!#REF!</definedName>
    <definedName name="URAIAN424">[16]Analisa!#REF!</definedName>
    <definedName name="URAIAN425">[16]Analisa!#REF!</definedName>
    <definedName name="URAIAN426">[16]Analisa!#REF!</definedName>
    <definedName name="URAIAN427">[16]Analisa!#REF!</definedName>
    <definedName name="URAIAN511">'[32]3-DIV5'!$A$1:$J$179</definedName>
    <definedName name="URAIAN512">'[32]3-DIV5'!$A$180:$J$358</definedName>
    <definedName name="URAIAN521">'[32]3-DIV5'!$A$359:$J$537</definedName>
    <definedName name="URAIAN522">'[32]3-DIV5'!$A$3075:$J$3253</definedName>
    <definedName name="URAIAN541">'[32]3-DIV5'!$A$3254:$J$3373</definedName>
    <definedName name="URAIAN542">'[32]3-DIV5'!$A$3374:$J$3612</definedName>
    <definedName name="URAIAN611">#REF!</definedName>
    <definedName name="URAIAN612">#REF!</definedName>
    <definedName name="URAIAN621">#REF!</definedName>
    <definedName name="URAIAN622">#REF!</definedName>
    <definedName name="URAIAN623">#REF!</definedName>
    <definedName name="URAIAN631">#REF!</definedName>
    <definedName name="URAIAN632">#REF!</definedName>
    <definedName name="URAIAN633">#REF!</definedName>
    <definedName name="URAIAN634">#REF!</definedName>
    <definedName name="URAIAN635">#REF!</definedName>
    <definedName name="URAIAN635A">#REF!</definedName>
    <definedName name="URAIAN636">#REF!</definedName>
    <definedName name="URAIAN641L">#REF!</definedName>
    <definedName name="URAIAN642">#REF!</definedName>
    <definedName name="URAIAN65">#REF!</definedName>
    <definedName name="URAIAN66PERATA">#REF!</definedName>
    <definedName name="URAIAN66PERMUKAAN">#REF!</definedName>
    <definedName name="URAIAN7101">#REF!</definedName>
    <definedName name="URAIAN7102">#REF!</definedName>
    <definedName name="URAIAN7103">#REF!</definedName>
    <definedName name="URAIAN711">#REF!</definedName>
    <definedName name="URAIAN712">#REF!</definedName>
    <definedName name="URAIAN713">#REF!</definedName>
    <definedName name="URAIAN714">#REF!</definedName>
    <definedName name="URAIAN715">#REF!</definedName>
    <definedName name="URAIAN716">#REF!</definedName>
    <definedName name="URAIAN717">#REF!</definedName>
    <definedName name="URAIAN718">#REF!</definedName>
    <definedName name="URAIAN721">#REF!</definedName>
    <definedName name="URAIAN731">#REF!</definedName>
    <definedName name="URAIAN732">#REF!</definedName>
    <definedName name="URAIAN733">#REF!</definedName>
    <definedName name="URAIAN734">#REF!</definedName>
    <definedName name="URAIAN735">#REF!</definedName>
    <definedName name="URAIAN744">#REF!</definedName>
    <definedName name="URAIAN745">#REF!</definedName>
    <definedName name="URAIAN7610">#REF!</definedName>
    <definedName name="URAIAN7612a">#REF!</definedName>
    <definedName name="URAIAN7612b">#REF!</definedName>
    <definedName name="URAIAN7612c">#REF!</definedName>
    <definedName name="URAIAN7613a">#REF!</definedName>
    <definedName name="URAIAN7613b">#REF!</definedName>
    <definedName name="URAIAN7613c">#REF!</definedName>
    <definedName name="URAIAN7614a">#REF!</definedName>
    <definedName name="URAIAN7614b">#REF!</definedName>
    <definedName name="URAIAN7614d">#REF!</definedName>
    <definedName name="URAIAN7614e">#REF!</definedName>
    <definedName name="URAIAN7618">#REF!</definedName>
    <definedName name="URAIAN7619">#REF!</definedName>
    <definedName name="URAIAN768">#REF!</definedName>
    <definedName name="URAIAN769">#REF!</definedName>
    <definedName name="URAIAN76x">#REF!</definedName>
    <definedName name="URAIAN771a">#REF!</definedName>
    <definedName name="URAIAN771b">#REF!</definedName>
    <definedName name="URAIAN771c">#REF!</definedName>
    <definedName name="URAIAN771d">#REF!</definedName>
    <definedName name="URAIAN772a">#REF!</definedName>
    <definedName name="URAIAN772b">#REF!</definedName>
    <definedName name="URAIAN772c">#REF!</definedName>
    <definedName name="URAIAN772d">#REF!</definedName>
    <definedName name="URAIAN79manual">#REF!</definedName>
    <definedName name="URAIAN79mekanis">#REF!</definedName>
    <definedName name="URAIAN811">#REF!</definedName>
    <definedName name="URAIAN812">#REF!</definedName>
    <definedName name="URAIAN813">#REF!</definedName>
    <definedName name="URAIAN814">#REF!</definedName>
    <definedName name="URAIAN815">#REF!</definedName>
    <definedName name="URAIAN817">#REF!</definedName>
    <definedName name="URAIAN818">#REF!</definedName>
    <definedName name="URAIAN819">#REF!</definedName>
    <definedName name="URAIAN82">#REF!</definedName>
    <definedName name="Uraian841">#REF!</definedName>
    <definedName name="Uraian8410">#REF!</definedName>
    <definedName name="Uraian842">#REF!</definedName>
    <definedName name="Uraian844">#REF!</definedName>
    <definedName name="Uraian845">#REF!</definedName>
    <definedName name="Uraian846">#REF!</definedName>
    <definedName name="Uraian847">#REF!</definedName>
    <definedName name="URAIAN910">#REF!</definedName>
    <definedName name="URAIAN911">#REF!</definedName>
    <definedName name="URAIAN912">#REF!</definedName>
    <definedName name="URAIAN913">#REF!</definedName>
    <definedName name="URAIAN914">#REF!</definedName>
    <definedName name="URAIAN915">#REF!</definedName>
    <definedName name="URAIAN916">#REF!</definedName>
    <definedName name="URAIAN917">#REF!</definedName>
    <definedName name="URAIAN918">#REF!</definedName>
    <definedName name="URAIAN919">#REF!</definedName>
    <definedName name="URAIAN920">#REF!</definedName>
    <definedName name="URAIAN94">#REF!</definedName>
    <definedName name="URAIAN95">#REF!</definedName>
    <definedName name="URAIAN96">#REF!</definedName>
    <definedName name="URAIAN97">#REF!</definedName>
    <definedName name="URAIAN98">#REF!</definedName>
    <definedName name="URAIAN99">#REF!</definedName>
    <definedName name="URAIANGEOTEKSTIL">#REF!</definedName>
    <definedName name="UTAIAN7614c">#REF!</definedName>
    <definedName name="V">[25]Menu!#REF!</definedName>
    <definedName name="VCDD3p">'[10]KPVC_BD '!#REF!</definedName>
    <definedName name="VCHT">#REF!</definedName>
    <definedName name="VCTT">#REF!</definedName>
    <definedName name="VCVBT1">[10]VCV_BE_TONG!$G$11</definedName>
    <definedName name="VCVBT2">[10]VCV_BE_TONG!$G$17</definedName>
    <definedName name="vd3p">#REF!</definedName>
    <definedName name="vibrator">[23]HARGA!$D$93</definedName>
    <definedName name="VIBROROLLER">#REF!</definedName>
    <definedName name="VIBROROLLER321">#REF!</definedName>
    <definedName name="VIBROROLLER33">#REF!</definedName>
    <definedName name="VIBROROLLER511">#REF!</definedName>
    <definedName name="VIBROROLLER512">#REF!</definedName>
    <definedName name="VIBROROLLER521">#REF!</definedName>
    <definedName name="vl1p">#REF!</definedName>
    <definedName name="vl3p">#REF!</definedName>
    <definedName name="vldd">'[10]TH XL'!#REF!</definedName>
    <definedName name="vldn400">#REF!</definedName>
    <definedName name="vldn600">#REF!</definedName>
    <definedName name="VLHC">[10]TNHCHINH!$I$38</definedName>
    <definedName name="vltr">'[10]TH XL'!#REF!</definedName>
    <definedName name="vltram">#REF!</definedName>
    <definedName name="vr3p">#REF!</definedName>
    <definedName name="vt1pbs">[10]lam_moi!#REF!</definedName>
    <definedName name="vtbs">[10]lam_moi!#REF!</definedName>
    <definedName name="W">#REF!</definedName>
    <definedName name="WATERPUMP">#REF!</definedName>
    <definedName name="WATERTANK33">#REF!</definedName>
    <definedName name="WATERTANK511">#REF!</definedName>
    <definedName name="WATERTANK512">#REF!</definedName>
    <definedName name="WATERTANK521">#REF!</definedName>
    <definedName name="WATERTANKER">#REF!</definedName>
    <definedName name="WHEELLOADER">#REF!</definedName>
    <definedName name="WHELLLOADER511">#REF!</definedName>
    <definedName name="WHELLLOADER512">#REF!</definedName>
    <definedName name="WHELLLOADER521">#REF!</definedName>
    <definedName name="x">#REF!</definedName>
    <definedName name="x17dnc">[10]chitiet!#REF!</definedName>
    <definedName name="x17dvl">[10]chitiet!#REF!</definedName>
    <definedName name="x17knc">[10]chitiet!#REF!</definedName>
    <definedName name="x17kvl">[10]chitiet!#REF!</definedName>
    <definedName name="X1pFCOnc">'[10]CHITIET VL_NC_TT _1p'!#REF!</definedName>
    <definedName name="X1pFCOvc">'[10]CHITIET VL_NC_TT _1p'!#REF!</definedName>
    <definedName name="X1pFCOvl">'[10]CHITIET VL_NC_TT _1p'!#REF!</definedName>
    <definedName name="x1pignc">[10]lam_moi!#REF!</definedName>
    <definedName name="X1pIGvc">'[10]CHITIET VL_NC_TT _1p'!#REF!</definedName>
    <definedName name="x1pigvl">[10]lam_moi!#REF!</definedName>
    <definedName name="x1pind">#REF!</definedName>
    <definedName name="x1pindnc">[10]lam_moi!#REF!</definedName>
    <definedName name="x1pindvl">[10]lam_moi!#REF!</definedName>
    <definedName name="x1ping">#REF!</definedName>
    <definedName name="x1pingnc">[10]lam_moi!#REF!</definedName>
    <definedName name="x1pingvl">[10]lam_moi!#REF!</definedName>
    <definedName name="x1pint">#REF!</definedName>
    <definedName name="x1pintnc">[10]lam_moi!#REF!</definedName>
    <definedName name="X1pINTvc">'[10]CHITIET VL_NC_TT _1p'!#REF!</definedName>
    <definedName name="x1pintvl">[10]lam_moi!#REF!</definedName>
    <definedName name="x1pitnc">[10]lam_moi!#REF!</definedName>
    <definedName name="X1pITvc">'[10]CHITIET VL_NC_TT _1p'!#REF!</definedName>
    <definedName name="x1pitvl">[10]lam_moi!#REF!</definedName>
    <definedName name="x20knc">[10]chitiet!#REF!</definedName>
    <definedName name="x20kvl">[10]chitiet!#REF!</definedName>
    <definedName name="x22knc">[10]chitiet!#REF!</definedName>
    <definedName name="x22kvl">[10]chitiet!#REF!</definedName>
    <definedName name="x2mig1nc">[10]lam_moi!#REF!</definedName>
    <definedName name="x2mig1vl">[10]lam_moi!#REF!</definedName>
    <definedName name="x2min1nc">[10]lam_moi!#REF!</definedName>
    <definedName name="x2min1vl">[10]lam_moi!#REF!</definedName>
    <definedName name="x2mit1vl">[10]lam_moi!#REF!</definedName>
    <definedName name="x2mitnc">[10]lam_moi!#REF!</definedName>
    <definedName name="XCCT">0.5</definedName>
    <definedName name="xdsnc">[10]gtrinh!#REF!</definedName>
    <definedName name="xdsvl">[10]gtrinh!#REF!</definedName>
    <definedName name="xfco">#REF!</definedName>
    <definedName name="xfco3p">#REF!</definedName>
    <definedName name="xfconc">[10]lam_moi!#REF!</definedName>
    <definedName name="xfconc3p">'[10]CHITIET VL_NC'!$G$94</definedName>
    <definedName name="xfcotnc">#REF!</definedName>
    <definedName name="xfcotvl">#REF!</definedName>
    <definedName name="xfcovl">[10]lam_moi!#REF!</definedName>
    <definedName name="xfcovl3p">'[10]CHITIET VL_NC'!$G$90</definedName>
    <definedName name="xfnc">[10]lam_moi!#REF!</definedName>
    <definedName name="xfvl">[10]lam_moi!#REF!</definedName>
    <definedName name="xhn">#REF!</definedName>
    <definedName name="xhnnc">[10]lam_moi!#REF!</definedName>
    <definedName name="xhnvl">[10]lam_moi!#REF!</definedName>
    <definedName name="xig">#REF!</definedName>
    <definedName name="xig1">#REF!</definedName>
    <definedName name="xig1nc">[10]lam_moi!#REF!</definedName>
    <definedName name="xig1p">#REF!</definedName>
    <definedName name="xig1pnc">[10]lam_moi!#REF!</definedName>
    <definedName name="xig1pvl">[10]lam_moi!#REF!</definedName>
    <definedName name="xig1vl">[10]lam_moi!#REF!</definedName>
    <definedName name="xig2nc">[10]lam_moi!#REF!</definedName>
    <definedName name="xig2vl">[10]lam_moi!#REF!</definedName>
    <definedName name="xig3p">#REF!</definedName>
    <definedName name="xiggnc">'[10]CHITIET VL_NC'!$G$57</definedName>
    <definedName name="xiggvl">'[10]CHITIET VL_NC'!$G$53</definedName>
    <definedName name="xignc">[10]lam_moi!#REF!</definedName>
    <definedName name="xignc3p">#REF!</definedName>
    <definedName name="xigvl">[10]lam_moi!#REF!</definedName>
    <definedName name="xigvl3p">#REF!</definedName>
    <definedName name="xin">#REF!</definedName>
    <definedName name="xin190">#REF!</definedName>
    <definedName name="xin1903p">#REF!</definedName>
    <definedName name="xin190nc">[10]lam_moi!#REF!</definedName>
    <definedName name="xin190nc3p">'[10]CHITIET VL_NC'!$G$76</definedName>
    <definedName name="xin190vl">[10]lam_moi!#REF!</definedName>
    <definedName name="xin190vl3p">'[10]CHITIET VL_NC'!$G$72</definedName>
    <definedName name="xin2903p">#REF!</definedName>
    <definedName name="xin290nc3p">#REF!</definedName>
    <definedName name="xin290vl3p">#REF!</definedName>
    <definedName name="xin3p">#REF!</definedName>
    <definedName name="xin901nc">[10]lam_moi!#REF!</definedName>
    <definedName name="xin901vl">[10]lam_moi!#REF!</definedName>
    <definedName name="xind">#REF!</definedName>
    <definedName name="xind1p">#REF!</definedName>
    <definedName name="xind1pnc">[10]lam_moi!#REF!</definedName>
    <definedName name="xind1pvl">[10]lam_moi!#REF!</definedName>
    <definedName name="xind3p">#REF!</definedName>
    <definedName name="xindnc">[10]lam_moi!#REF!</definedName>
    <definedName name="xindnc1p">#REF!</definedName>
    <definedName name="xindnc3p">'[10]CHITIET VL_NC'!$G$85</definedName>
    <definedName name="xindvl">[10]lam_moi!#REF!</definedName>
    <definedName name="xindvl1p">#REF!</definedName>
    <definedName name="xindvl3p">'[10]CHITIET VL_NC'!$G$80</definedName>
    <definedName name="xing1p">#REF!</definedName>
    <definedName name="xing1pnc">[10]lam_moi!#REF!</definedName>
    <definedName name="xing1pvl">[10]lam_moi!#REF!</definedName>
    <definedName name="xingnc1p">#REF!</definedName>
    <definedName name="xingvl1p">#REF!</definedName>
    <definedName name="xinnc">[10]lam_moi!#REF!</definedName>
    <definedName name="xinnc3p">#REF!</definedName>
    <definedName name="xint1p">#REF!</definedName>
    <definedName name="xinvl">[10]lam_moi!#REF!</definedName>
    <definedName name="xinvl3p">#REF!</definedName>
    <definedName name="xit">#REF!</definedName>
    <definedName name="xit1">#REF!</definedName>
    <definedName name="xit1nc">[10]lam_moi!#REF!</definedName>
    <definedName name="xit1p">#REF!</definedName>
    <definedName name="xit1pnc">[10]lam_moi!#REF!</definedName>
    <definedName name="xit1pvl">[10]lam_moi!#REF!</definedName>
    <definedName name="xit1vl">[10]lam_moi!#REF!</definedName>
    <definedName name="xit23p">#REF!</definedName>
    <definedName name="xit2nc">[10]lam_moi!#REF!</definedName>
    <definedName name="xit2nc3p">#REF!</definedName>
    <definedName name="xit2vl">[10]lam_moi!#REF!</definedName>
    <definedName name="xit2vl3p">#REF!</definedName>
    <definedName name="xit3p">#REF!</definedName>
    <definedName name="xitnc">[10]lam_moi!#REF!</definedName>
    <definedName name="xitnc3p">#REF!</definedName>
    <definedName name="xittnc">'[10]CHITIET VL_NC'!$G$48</definedName>
    <definedName name="xittvl">'[10]CHITIET VL_NC'!$G$44</definedName>
    <definedName name="xitvl">[10]lam_moi!#REF!</definedName>
    <definedName name="xitvl3p">#REF!</definedName>
    <definedName name="xm">[38]gvl!$N$16</definedName>
    <definedName name="xr1nc">[10]lam_moi!#REF!</definedName>
    <definedName name="xr1vl">[10]lam_moi!#REF!</definedName>
    <definedName name="xtr3pnc">[10]gtrinh!#REF!</definedName>
    <definedName name="xtr3pvl">[10]gtrinh!#REF!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19" i="28"/>
  <c r="C1429"/>
  <c r="B1427"/>
  <c r="D196" i="6"/>
  <c r="D164"/>
  <c r="M167"/>
  <c r="M166"/>
  <c r="M165"/>
  <c r="M164"/>
  <c r="M131"/>
  <c r="D120"/>
  <c r="M130"/>
  <c r="D143"/>
  <c r="R115"/>
  <c r="R113"/>
  <c r="R112"/>
  <c r="E54" i="26"/>
  <c r="G37"/>
  <c r="G17" i="29"/>
  <c r="G16"/>
  <c r="J17"/>
  <c r="J16"/>
  <c r="L17"/>
  <c r="M17"/>
  <c r="N17"/>
  <c r="P17"/>
  <c r="Q17"/>
  <c r="T17"/>
  <c r="G18"/>
  <c r="J18"/>
  <c r="L18"/>
  <c r="M18"/>
  <c r="N18"/>
  <c r="P18"/>
  <c r="Q18"/>
  <c r="T18"/>
  <c r="G20"/>
  <c r="G19"/>
  <c r="J20"/>
  <c r="J19"/>
  <c r="L20"/>
  <c r="M20"/>
  <c r="N20"/>
  <c r="Q20"/>
  <c r="T20"/>
  <c r="G21"/>
  <c r="J21"/>
  <c r="L21"/>
  <c r="N21"/>
  <c r="P21"/>
  <c r="Q21"/>
  <c r="T21"/>
  <c r="G22"/>
  <c r="I22"/>
  <c r="J22"/>
  <c r="L22"/>
  <c r="N22"/>
  <c r="P22"/>
  <c r="Q22"/>
  <c r="T22"/>
  <c r="G24"/>
  <c r="G23"/>
  <c r="J24"/>
  <c r="J23"/>
  <c r="L24"/>
  <c r="N24"/>
  <c r="P24"/>
  <c r="Q24"/>
  <c r="T24"/>
  <c r="G25"/>
  <c r="J25"/>
  <c r="L25"/>
  <c r="N25"/>
  <c r="P25"/>
  <c r="Q25"/>
  <c r="T25"/>
  <c r="G26"/>
  <c r="J26"/>
  <c r="L26"/>
  <c r="N26"/>
  <c r="P26"/>
  <c r="Q26"/>
  <c r="T26"/>
  <c r="G27"/>
  <c r="J27"/>
  <c r="L27"/>
  <c r="M27"/>
  <c r="N27"/>
  <c r="Q27"/>
  <c r="T27"/>
  <c r="G28"/>
  <c r="J28"/>
  <c r="L28"/>
  <c r="M28"/>
  <c r="N28"/>
  <c r="Q28"/>
  <c r="T28"/>
  <c r="G30"/>
  <c r="G29"/>
  <c r="I30"/>
  <c r="J30"/>
  <c r="M30"/>
  <c r="N30"/>
  <c r="Q30"/>
  <c r="T30"/>
  <c r="G32"/>
  <c r="G31"/>
  <c r="J32"/>
  <c r="J31"/>
  <c r="L32"/>
  <c r="M32"/>
  <c r="N32"/>
  <c r="Q32"/>
  <c r="T32"/>
  <c r="G34"/>
  <c r="G33"/>
  <c r="J34"/>
  <c r="J33"/>
  <c r="L34"/>
  <c r="M34"/>
  <c r="N34"/>
  <c r="Q34"/>
  <c r="T34"/>
  <c r="G35"/>
  <c r="J35"/>
  <c r="L35"/>
  <c r="M35"/>
  <c r="N35"/>
  <c r="Q35"/>
  <c r="T35"/>
  <c r="G36"/>
  <c r="J36"/>
  <c r="L36"/>
  <c r="N36"/>
  <c r="P36"/>
  <c r="Q36"/>
  <c r="T36"/>
  <c r="G38"/>
  <c r="G37"/>
  <c r="I38"/>
  <c r="J38"/>
  <c r="N38"/>
  <c r="G39"/>
  <c r="J39"/>
  <c r="L39"/>
  <c r="N39"/>
  <c r="P39"/>
  <c r="Q39"/>
  <c r="T39"/>
  <c r="G40"/>
  <c r="J40"/>
  <c r="L40"/>
  <c r="M40"/>
  <c r="N40"/>
  <c r="Q40"/>
  <c r="T40"/>
  <c r="G41"/>
  <c r="J41"/>
  <c r="L41"/>
  <c r="N41"/>
  <c r="P41"/>
  <c r="Q41"/>
  <c r="T41"/>
  <c r="G43"/>
  <c r="G42"/>
  <c r="J43"/>
  <c r="J42"/>
  <c r="L43"/>
  <c r="M43"/>
  <c r="N43"/>
  <c r="P43"/>
  <c r="Q43"/>
  <c r="T43"/>
  <c r="G44"/>
  <c r="J44"/>
  <c r="L44"/>
  <c r="M44"/>
  <c r="N44"/>
  <c r="P44"/>
  <c r="Q44"/>
  <c r="T44"/>
  <c r="G45"/>
  <c r="J45"/>
  <c r="L45"/>
  <c r="M45"/>
  <c r="N45"/>
  <c r="P45"/>
  <c r="Q45"/>
  <c r="T45"/>
  <c r="O48"/>
  <c r="R48"/>
  <c r="G38" i="26"/>
  <c r="G35"/>
  <c r="M125" i="6"/>
  <c r="M124"/>
  <c r="E43" i="26"/>
  <c r="E11"/>
  <c r="E10"/>
  <c r="N16"/>
  <c r="K16"/>
  <c r="M16"/>
  <c r="N15"/>
  <c r="K15"/>
  <c r="M15"/>
  <c r="C1462" i="28"/>
  <c r="F1227"/>
  <c r="F937"/>
  <c r="F153"/>
  <c r="F151"/>
  <c r="F150"/>
  <c r="F149"/>
  <c r="F147"/>
  <c r="C148"/>
  <c r="C149"/>
  <c r="M59" i="6"/>
  <c r="G69" i="28"/>
  <c r="C50"/>
  <c r="D194" i="6"/>
  <c r="F37"/>
  <c r="D144"/>
  <c r="D165"/>
  <c r="D200"/>
  <c r="D141"/>
  <c r="F95"/>
  <c r="F94"/>
  <c r="F123"/>
  <c r="F102"/>
  <c r="D100"/>
  <c r="A96"/>
  <c r="M96"/>
  <c r="M97"/>
  <c r="F112"/>
  <c r="F120"/>
  <c r="F31"/>
  <c r="F32"/>
  <c r="F33"/>
  <c r="F48"/>
  <c r="F53"/>
  <c r="F76"/>
  <c r="F81"/>
  <c r="K18" i="26"/>
  <c r="J37" i="29"/>
  <c r="G48"/>
  <c r="J29"/>
  <c r="K30"/>
  <c r="K29"/>
  <c r="K39"/>
  <c r="H27"/>
  <c r="K21"/>
  <c r="N48"/>
  <c r="N49"/>
  <c r="N50"/>
  <c r="N51"/>
  <c r="J48"/>
  <c r="J49"/>
  <c r="J50"/>
  <c r="J51"/>
  <c r="T38"/>
  <c r="P38"/>
  <c r="Q38"/>
  <c r="Q48"/>
  <c r="Q49"/>
  <c r="Q50"/>
  <c r="Q51"/>
  <c r="L38"/>
  <c r="K32"/>
  <c r="K31"/>
  <c r="H32"/>
  <c r="H31"/>
  <c r="L30"/>
  <c r="H30"/>
  <c r="H29"/>
  <c r="M94" i="6"/>
  <c r="A94"/>
  <c r="A95"/>
  <c r="A97"/>
  <c r="A98"/>
  <c r="A99"/>
  <c r="A100"/>
  <c r="A101"/>
  <c r="A102"/>
  <c r="A103"/>
  <c r="G99" i="28"/>
  <c r="G85"/>
  <c r="G54"/>
  <c r="C34"/>
  <c r="G129"/>
  <c r="G40"/>
  <c r="G41"/>
  <c r="G63"/>
  <c r="G46"/>
  <c r="C54"/>
  <c r="C46"/>
  <c r="C40"/>
  <c r="C41"/>
  <c r="C101"/>
  <c r="A33" i="6"/>
  <c r="A34"/>
  <c r="A35"/>
  <c r="A36"/>
  <c r="A37"/>
  <c r="A38"/>
  <c r="A39"/>
  <c r="A32"/>
  <c r="M31"/>
  <c r="N30"/>
  <c r="M38"/>
  <c r="D17" i="23"/>
  <c r="G7"/>
  <c r="D18"/>
  <c r="D16"/>
  <c r="D15"/>
  <c r="D14"/>
  <c r="D13"/>
  <c r="D12"/>
  <c r="D11"/>
  <c r="D8"/>
  <c r="C18"/>
  <c r="C17"/>
  <c r="C16"/>
  <c r="C15"/>
  <c r="C14"/>
  <c r="C13"/>
  <c r="C12"/>
  <c r="C11"/>
  <c r="C8"/>
  <c r="C7"/>
  <c r="C6"/>
  <c r="C5"/>
  <c r="G15" i="25"/>
  <c r="G16"/>
  <c r="G14"/>
  <c r="G13"/>
  <c r="G17"/>
  <c r="G12"/>
  <c r="F25" i="24"/>
  <c r="F24"/>
  <c r="F23"/>
  <c r="F22"/>
  <c r="F21"/>
  <c r="B10"/>
  <c r="B12"/>
  <c r="B14"/>
  <c r="B16"/>
  <c r="I13"/>
  <c r="F1005" i="28"/>
  <c r="F941"/>
  <c r="A8" i="10"/>
  <c r="A9"/>
  <c r="A10"/>
  <c r="A11"/>
  <c r="A12"/>
  <c r="A13"/>
  <c r="A14"/>
  <c r="A15"/>
  <c r="A16"/>
  <c r="A17"/>
  <c r="A18"/>
  <c r="F25" i="28"/>
  <c r="F1610"/>
  <c r="F1552"/>
  <c r="F1427"/>
  <c r="F1282"/>
  <c r="F1280"/>
  <c r="A1280"/>
  <c r="F1135"/>
  <c r="F1008"/>
  <c r="A1135"/>
  <c r="A1005"/>
  <c r="F939"/>
  <c r="A939"/>
  <c r="F798"/>
  <c r="F622"/>
  <c r="A798"/>
  <c r="F621"/>
  <c r="F382"/>
  <c r="A621"/>
  <c r="F380"/>
  <c r="A380"/>
  <c r="F155"/>
  <c r="A155"/>
  <c r="H17" i="29"/>
  <c r="K17"/>
  <c r="H18"/>
  <c r="K18"/>
  <c r="H20"/>
  <c r="K20"/>
  <c r="H22"/>
  <c r="H24"/>
  <c r="K24"/>
  <c r="H26"/>
  <c r="K26"/>
  <c r="G13" i="23"/>
  <c r="H28" i="29"/>
  <c r="K28"/>
  <c r="H34"/>
  <c r="K34"/>
  <c r="H36"/>
  <c r="K36"/>
  <c r="H40"/>
  <c r="K40"/>
  <c r="H43"/>
  <c r="K43"/>
  <c r="H44"/>
  <c r="K44"/>
  <c r="H45"/>
  <c r="K45"/>
  <c r="J56"/>
  <c r="H38"/>
  <c r="H37"/>
  <c r="G49"/>
  <c r="G50"/>
  <c r="G51"/>
  <c r="H21"/>
  <c r="H25"/>
  <c r="H35"/>
  <c r="H41"/>
  <c r="K25"/>
  <c r="K35"/>
  <c r="K41"/>
  <c r="K22"/>
  <c r="K27"/>
  <c r="G14" i="23"/>
  <c r="H39" i="29"/>
  <c r="K38"/>
  <c r="K37"/>
  <c r="G6" i="23"/>
  <c r="G16"/>
  <c r="H1378" i="28"/>
  <c r="D25" i="23"/>
  <c r="D16" i="10"/>
  <c r="D14"/>
  <c r="D13"/>
  <c r="D11"/>
  <c r="D10"/>
  <c r="E1609" i="28"/>
  <c r="F294"/>
  <c r="E294"/>
  <c r="C294"/>
  <c r="E1219"/>
  <c r="F31"/>
  <c r="G1470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5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D1282"/>
  <c r="F1225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G938"/>
  <c r="F935"/>
  <c r="G929"/>
  <c r="G919"/>
  <c r="G909"/>
  <c r="G899"/>
  <c r="G889"/>
  <c r="G879"/>
  <c r="G869"/>
  <c r="G859"/>
  <c r="G849"/>
  <c r="G839"/>
  <c r="G829"/>
  <c r="G819"/>
  <c r="G809"/>
  <c r="G797"/>
  <c r="G787"/>
  <c r="G777"/>
  <c r="H768"/>
  <c r="G767"/>
  <c r="G757"/>
  <c r="G747"/>
  <c r="G737"/>
  <c r="G727"/>
  <c r="G717"/>
  <c r="G707"/>
  <c r="G690"/>
  <c r="G673"/>
  <c r="G656"/>
  <c r="G639"/>
  <c r="G620"/>
  <c r="G603"/>
  <c r="G586"/>
  <c r="G569"/>
  <c r="G552"/>
  <c r="G535"/>
  <c r="G518"/>
  <c r="G501"/>
  <c r="G484"/>
  <c r="G467"/>
  <c r="G450"/>
  <c r="G433"/>
  <c r="G416"/>
  <c r="G399"/>
  <c r="G379"/>
  <c r="G362"/>
  <c r="G345"/>
  <c r="G328"/>
  <c r="G311"/>
  <c r="C212"/>
  <c r="F212"/>
  <c r="C154"/>
  <c r="B29"/>
  <c r="B30"/>
  <c r="B31"/>
  <c r="B32"/>
  <c r="A10"/>
  <c r="A11"/>
  <c r="A12"/>
  <c r="A13"/>
  <c r="A14"/>
  <c r="A15"/>
  <c r="A16"/>
  <c r="A17"/>
  <c r="A18"/>
  <c r="A19"/>
  <c r="A20"/>
  <c r="A21"/>
  <c r="A22"/>
  <c r="A23"/>
  <c r="A24"/>
  <c r="A25"/>
  <c r="D1137"/>
  <c r="D1008"/>
  <c r="B20"/>
  <c r="B21"/>
  <c r="I16"/>
  <c r="I15"/>
  <c r="F13"/>
  <c r="F12"/>
  <c r="B10"/>
  <c r="B11"/>
  <c r="B16"/>
  <c r="B17"/>
  <c r="B18"/>
  <c r="C8"/>
  <c r="D8"/>
  <c r="J9" i="6"/>
  <c r="K9"/>
  <c r="J10"/>
  <c r="K10"/>
  <c r="K4" i="26"/>
  <c r="L6"/>
  <c r="N6"/>
  <c r="K6"/>
  <c r="M6"/>
  <c r="U51" i="29"/>
  <c r="U50"/>
  <c r="J57"/>
  <c r="K42"/>
  <c r="K33"/>
  <c r="K23"/>
  <c r="H19"/>
  <c r="H16"/>
  <c r="H42"/>
  <c r="H33"/>
  <c r="H23"/>
  <c r="K19"/>
  <c r="K16"/>
  <c r="G15" i="23"/>
  <c r="G8"/>
  <c r="G18"/>
  <c r="G5"/>
  <c r="G11"/>
  <c r="G17"/>
  <c r="B1384" i="28"/>
  <c r="B1385"/>
  <c r="B1386"/>
  <c r="B1387"/>
  <c r="B1388"/>
  <c r="B1389"/>
  <c r="B1382"/>
  <c r="B1383"/>
  <c r="B33"/>
  <c r="B1219"/>
  <c r="B22"/>
  <c r="B12"/>
  <c r="B13"/>
  <c r="B14"/>
  <c r="B15"/>
  <c r="U49" i="29"/>
  <c r="U48"/>
  <c r="K48"/>
  <c r="G25" i="23"/>
  <c r="B1392" i="28"/>
  <c r="B1393"/>
  <c r="B1394"/>
  <c r="B1395"/>
  <c r="B1396"/>
  <c r="B1397"/>
  <c r="B1390"/>
  <c r="B1391"/>
  <c r="B35"/>
  <c r="B34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H577"/>
  <c r="B23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36"/>
  <c r="B37"/>
  <c r="B38"/>
  <c r="B39"/>
  <c r="B40"/>
  <c r="B41"/>
  <c r="B42"/>
  <c r="B43"/>
  <c r="B44"/>
  <c r="B24"/>
  <c r="N5" i="26"/>
  <c r="N4"/>
  <c r="K5"/>
  <c r="I47"/>
  <c r="I46"/>
  <c r="B1423" i="28"/>
  <c r="B1424"/>
  <c r="B1425"/>
  <c r="B1426"/>
  <c r="B1430"/>
  <c r="B1431"/>
  <c r="B1432"/>
  <c r="B1433"/>
  <c r="B1434"/>
  <c r="B1421"/>
  <c r="B1422"/>
  <c r="B45"/>
  <c r="B46"/>
  <c r="B25"/>
  <c r="M102" i="6"/>
  <c r="F18" i="23"/>
  <c r="F17"/>
  <c r="F16"/>
  <c r="F15"/>
  <c r="F14"/>
  <c r="F13"/>
  <c r="F12"/>
  <c r="F11"/>
  <c r="F8"/>
  <c r="F7"/>
  <c r="E25"/>
  <c r="F228" i="6"/>
  <c r="M195"/>
  <c r="I31"/>
  <c r="G40" i="26"/>
  <c r="G34"/>
  <c r="G31"/>
  <c r="G30"/>
  <c r="C30"/>
  <c r="C29"/>
  <c r="C24"/>
  <c r="C23"/>
  <c r="C75"/>
  <c r="C74"/>
  <c r="C73"/>
  <c r="C72"/>
  <c r="C71"/>
  <c r="C69"/>
  <c r="C68"/>
  <c r="C83"/>
  <c r="C84"/>
  <c r="C89"/>
  <c r="C92"/>
  <c r="C93"/>
  <c r="C99"/>
  <c r="C77"/>
  <c r="C78"/>
  <c r="C26"/>
  <c r="C27"/>
  <c r="C28"/>
  <c r="C32"/>
  <c r="C33"/>
  <c r="C97"/>
  <c r="M5"/>
  <c r="M4"/>
  <c r="C56"/>
  <c r="C54"/>
  <c r="C57"/>
  <c r="C62"/>
  <c r="C63"/>
  <c r="C39"/>
  <c r="C40"/>
  <c r="C42"/>
  <c r="C47"/>
  <c r="C48"/>
  <c r="G52"/>
  <c r="E41"/>
  <c r="C5"/>
  <c r="C4"/>
  <c r="J155" i="6"/>
  <c r="J172"/>
  <c r="I172"/>
  <c r="K155"/>
  <c r="K154"/>
  <c r="D99"/>
  <c r="J30"/>
  <c r="J7" i="24"/>
  <c r="D103" i="6"/>
  <c r="G103"/>
  <c r="F154" i="28"/>
  <c r="M47" i="6"/>
  <c r="H41"/>
  <c r="O33"/>
  <c r="O30"/>
  <c r="O32"/>
  <c r="D111"/>
  <c r="M112"/>
  <c r="C13" i="26"/>
  <c r="C14"/>
  <c r="D172" i="6"/>
  <c r="D133"/>
  <c r="D155"/>
  <c r="G228"/>
  <c r="G231"/>
  <c r="H23" i="23"/>
  <c r="D95" i="6"/>
  <c r="G95"/>
  <c r="D96"/>
  <c r="G96"/>
  <c r="D101"/>
  <c r="G101"/>
  <c r="F152" i="28"/>
  <c r="D102" i="6"/>
  <c r="G102"/>
  <c r="D10"/>
  <c r="G10"/>
  <c r="G11"/>
  <c r="G13"/>
  <c r="G14"/>
  <c r="G15"/>
  <c r="F1219" i="28"/>
  <c r="G22" i="6"/>
  <c r="G23"/>
  <c r="G24"/>
  <c r="F14" i="28"/>
  <c r="G67" i="6"/>
  <c r="H9" i="23"/>
  <c r="G72" i="6"/>
  <c r="H10" i="23"/>
  <c r="G220" i="6"/>
  <c r="H21" i="23"/>
  <c r="G215" i="6"/>
  <c r="H20" i="23"/>
  <c r="G225" i="6"/>
  <c r="H22" i="23"/>
  <c r="H12" i="25"/>
  <c r="I12"/>
  <c r="H13"/>
  <c r="I13"/>
  <c r="H14"/>
  <c r="I14"/>
  <c r="H15"/>
  <c r="I15"/>
  <c r="H16"/>
  <c r="I16"/>
  <c r="I17"/>
  <c r="E5"/>
  <c r="A5"/>
  <c r="E4"/>
  <c r="A4"/>
  <c r="E3"/>
  <c r="A3"/>
  <c r="J154" i="6"/>
  <c r="J13" i="24"/>
  <c r="J14"/>
  <c r="J15"/>
  <c r="J16"/>
  <c r="I154" i="6"/>
  <c r="I14" i="24"/>
  <c r="I15"/>
  <c r="I16"/>
  <c r="B8"/>
  <c r="G24"/>
  <c r="G23"/>
  <c r="D186" i="6"/>
  <c r="G22" i="24"/>
  <c r="G21"/>
  <c r="B23"/>
  <c r="B22"/>
  <c r="B24"/>
  <c r="B25"/>
  <c r="D4"/>
  <c r="G243" i="6"/>
  <c r="G240"/>
  <c r="N229"/>
  <c r="H231"/>
  <c r="N230"/>
  <c r="Q230"/>
  <c r="N228"/>
  <c r="J228"/>
  <c r="K228"/>
  <c r="K227"/>
  <c r="I227"/>
  <c r="O111"/>
  <c r="O112"/>
  <c r="O126"/>
  <c r="O127"/>
  <c r="O128"/>
  <c r="Q126"/>
  <c r="O122"/>
  <c r="O125"/>
  <c r="A11"/>
  <c r="A12"/>
  <c r="A13"/>
  <c r="A14"/>
  <c r="A15"/>
  <c r="A16"/>
  <c r="A17"/>
  <c r="C14" i="10"/>
  <c r="C7"/>
  <c r="A165" i="6"/>
  <c r="A144"/>
  <c r="A200"/>
  <c r="A123"/>
  <c r="A85"/>
  <c r="A57"/>
  <c r="M1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M65"/>
  <c r="H9"/>
  <c r="J8"/>
  <c r="K8"/>
  <c r="N119"/>
  <c r="M121"/>
  <c r="J16"/>
  <c r="H223"/>
  <c r="H225"/>
  <c r="H218"/>
  <c r="H220"/>
  <c r="H213"/>
  <c r="H215"/>
  <c r="H208"/>
  <c r="H210"/>
  <c r="H70"/>
  <c r="H72"/>
  <c r="H65"/>
  <c r="H67"/>
  <c r="M54"/>
  <c r="M74"/>
  <c r="M75"/>
  <c r="M76"/>
  <c r="M95"/>
  <c r="M158"/>
  <c r="M192"/>
  <c r="M135"/>
  <c r="M188"/>
  <c r="F190"/>
  <c r="I14"/>
  <c r="K223"/>
  <c r="K222"/>
  <c r="K213"/>
  <c r="K212"/>
  <c r="J208"/>
  <c r="K208"/>
  <c r="K207"/>
  <c r="K70"/>
  <c r="K69"/>
  <c r="J22"/>
  <c r="J23"/>
  <c r="J24"/>
  <c r="I21"/>
  <c r="J12"/>
  <c r="J13"/>
  <c r="H26"/>
  <c r="G210"/>
  <c r="H19" i="23"/>
  <c r="N219" i="6"/>
  <c r="Q219"/>
  <c r="N218"/>
  <c r="N224"/>
  <c r="Q224"/>
  <c r="N223"/>
  <c r="J222"/>
  <c r="I222"/>
  <c r="N214"/>
  <c r="Q214"/>
  <c r="N213"/>
  <c r="J212"/>
  <c r="I212"/>
  <c r="M156"/>
  <c r="M161"/>
  <c r="M134"/>
  <c r="M138"/>
  <c r="F186"/>
  <c r="M189"/>
  <c r="O186"/>
  <c r="O187"/>
  <c r="M187"/>
  <c r="N186"/>
  <c r="F97"/>
  <c r="D97"/>
  <c r="D98"/>
  <c r="H98"/>
  <c r="O93"/>
  <c r="O95"/>
  <c r="N71"/>
  <c r="Q71"/>
  <c r="N70"/>
  <c r="J69"/>
  <c r="I69"/>
  <c r="N66"/>
  <c r="Q66"/>
  <c r="N65"/>
  <c r="M77"/>
  <c r="J15"/>
  <c r="M49"/>
  <c r="M48"/>
  <c r="M113"/>
  <c r="C23"/>
  <c r="C24"/>
  <c r="H18"/>
  <c r="K23"/>
  <c r="K22"/>
  <c r="F115"/>
  <c r="F133"/>
  <c r="H133"/>
  <c r="F137"/>
  <c r="F155"/>
  <c r="H155"/>
  <c r="H172"/>
  <c r="J17"/>
  <c r="K17"/>
  <c r="N209"/>
  <c r="Q209"/>
  <c r="N208"/>
  <c r="J207"/>
  <c r="I207"/>
  <c r="N172"/>
  <c r="N179"/>
  <c r="Q179"/>
  <c r="M175"/>
  <c r="M176"/>
  <c r="M173"/>
  <c r="I171"/>
  <c r="N161"/>
  <c r="Q161"/>
  <c r="M159"/>
  <c r="M136"/>
  <c r="N139"/>
  <c r="Q139"/>
  <c r="N133"/>
  <c r="O133"/>
  <c r="O134"/>
  <c r="M114"/>
  <c r="N111"/>
  <c r="G5" i="1"/>
  <c r="D14"/>
  <c r="D13"/>
  <c r="J13"/>
  <c r="G9"/>
  <c r="G8"/>
  <c r="G7"/>
  <c r="E5"/>
  <c r="G6"/>
  <c r="J4"/>
  <c r="H186" i="6"/>
  <c r="J25" i="24"/>
  <c r="B47" i="28"/>
  <c r="B48"/>
  <c r="J227" i="6"/>
  <c r="G111"/>
  <c r="J21"/>
  <c r="K21"/>
  <c r="O130"/>
  <c r="O131"/>
  <c r="I25" i="24"/>
  <c r="G17" i="6"/>
  <c r="F1609" i="28"/>
  <c r="F1554"/>
  <c r="I31" i="25"/>
  <c r="I32" i="6"/>
  <c r="I8" i="24"/>
  <c r="I11"/>
  <c r="H97" i="6"/>
  <c r="K30"/>
  <c r="F8" i="28"/>
  <c r="H12"/>
  <c r="F303"/>
  <c r="I9" i="24"/>
  <c r="I10"/>
  <c r="I7"/>
  <c r="G26" i="6"/>
  <c r="B8" i="10"/>
  <c r="C8"/>
  <c r="K8"/>
  <c r="B15"/>
  <c r="C15"/>
  <c r="K15"/>
  <c r="C27" i="28"/>
  <c r="D27"/>
  <c r="D156" i="6"/>
  <c r="G156"/>
  <c r="D157"/>
  <c r="G157"/>
  <c r="F1222" i="28"/>
  <c r="D158" i="6"/>
  <c r="G158"/>
  <c r="F1223" i="28"/>
  <c r="D162" i="6"/>
  <c r="G162"/>
  <c r="F1224" i="28"/>
  <c r="D163" i="6"/>
  <c r="G163"/>
  <c r="G165"/>
  <c r="D159"/>
  <c r="H159"/>
  <c r="D160"/>
  <c r="H160"/>
  <c r="D161"/>
  <c r="H161"/>
  <c r="I96"/>
  <c r="J96"/>
  <c r="I186"/>
  <c r="K172"/>
  <c r="K171"/>
  <c r="J171"/>
  <c r="J14"/>
  <c r="J7"/>
  <c r="I7"/>
  <c r="J32"/>
  <c r="J31"/>
  <c r="H6" i="23"/>
  <c r="G235" i="6"/>
  <c r="H27"/>
  <c r="G100"/>
  <c r="H99"/>
  <c r="G252"/>
  <c r="D18" i="10"/>
  <c r="H105" i="6"/>
  <c r="B49" i="28"/>
  <c r="G18" i="6"/>
  <c r="F1221" i="28"/>
  <c r="D7" i="10"/>
  <c r="I22" i="24"/>
  <c r="J186" i="6"/>
  <c r="D39"/>
  <c r="G39"/>
  <c r="F40" i="28"/>
  <c r="D30" i="6"/>
  <c r="G30"/>
  <c r="F33" i="28"/>
  <c r="B16" i="10"/>
  <c r="C16"/>
  <c r="K16"/>
  <c r="B9"/>
  <c r="C9"/>
  <c r="K9"/>
  <c r="K96" i="6"/>
  <c r="G164"/>
  <c r="F1226" i="28"/>
  <c r="H1374"/>
  <c r="G25" i="24"/>
  <c r="D175" i="6"/>
  <c r="G175"/>
  <c r="D176"/>
  <c r="G176"/>
  <c r="F1230" i="28"/>
  <c r="D177" i="6"/>
  <c r="G177"/>
  <c r="F1231" i="28"/>
  <c r="D173" i="6"/>
  <c r="H173"/>
  <c r="D174"/>
  <c r="H174"/>
  <c r="H166"/>
  <c r="K7"/>
  <c r="K31"/>
  <c r="K32"/>
  <c r="D32"/>
  <c r="G32"/>
  <c r="F35" i="28"/>
  <c r="I33" i="6"/>
  <c r="B51" i="28"/>
  <c r="B52"/>
  <c r="B53"/>
  <c r="B50"/>
  <c r="B54"/>
  <c r="B55"/>
  <c r="B56"/>
  <c r="B57"/>
  <c r="B58"/>
  <c r="H19" i="6"/>
  <c r="G234"/>
  <c r="H5" i="23"/>
  <c r="J185" i="6"/>
  <c r="J22" i="24"/>
  <c r="J9"/>
  <c r="J10"/>
  <c r="J11"/>
  <c r="J12"/>
  <c r="F1229" i="28"/>
  <c r="F1137"/>
  <c r="G180" i="6"/>
  <c r="G166"/>
  <c r="B10" i="10"/>
  <c r="C10"/>
  <c r="K10"/>
  <c r="K17"/>
  <c r="B17"/>
  <c r="C17"/>
  <c r="I185" i="6"/>
  <c r="H180"/>
  <c r="J33"/>
  <c r="I93"/>
  <c r="I47"/>
  <c r="I29"/>
  <c r="H167"/>
  <c r="H169"/>
  <c r="M169"/>
  <c r="D15" i="10"/>
  <c r="D1429" i="28"/>
  <c r="B59"/>
  <c r="B60"/>
  <c r="B61"/>
  <c r="B62"/>
  <c r="G246" i="6"/>
  <c r="H16" i="23"/>
  <c r="H181" i="6"/>
  <c r="H183"/>
  <c r="K18" i="10"/>
  <c r="B18"/>
  <c r="C18"/>
  <c r="B11"/>
  <c r="C11"/>
  <c r="K11"/>
  <c r="H17" i="23"/>
  <c r="G247" i="6"/>
  <c r="M177"/>
  <c r="K186"/>
  <c r="I46"/>
  <c r="J47"/>
  <c r="I65"/>
  <c r="K33"/>
  <c r="J29"/>
  <c r="K29"/>
  <c r="D34"/>
  <c r="B1435" i="28"/>
  <c r="B1436"/>
  <c r="B1437"/>
  <c r="B1438"/>
  <c r="B1439"/>
  <c r="D33" i="6"/>
  <c r="G33"/>
  <c r="F70" i="28"/>
  <c r="D38" i="6"/>
  <c r="B63" i="28"/>
  <c r="B64"/>
  <c r="B65"/>
  <c r="B66"/>
  <c r="B12" i="10"/>
  <c r="C12"/>
  <c r="K12"/>
  <c r="G200" i="6"/>
  <c r="F1469" i="28"/>
  <c r="K185" i="6"/>
  <c r="G38"/>
  <c r="F75" i="28"/>
  <c r="D37" i="6"/>
  <c r="G37"/>
  <c r="D31"/>
  <c r="G34"/>
  <c r="D35"/>
  <c r="I12" i="24"/>
  <c r="I75" i="6"/>
  <c r="J46"/>
  <c r="K46"/>
  <c r="K47"/>
  <c r="F71" i="28"/>
  <c r="F36"/>
  <c r="F39"/>
  <c r="B67"/>
  <c r="B68"/>
  <c r="B69"/>
  <c r="B70"/>
  <c r="B71"/>
  <c r="B72"/>
  <c r="B73"/>
  <c r="B74"/>
  <c r="B75"/>
  <c r="B13" i="10"/>
  <c r="C13"/>
  <c r="K14"/>
  <c r="K13"/>
  <c r="G196" i="6"/>
  <c r="F1468" i="28"/>
  <c r="H1608"/>
  <c r="D198" i="6"/>
  <c r="H198"/>
  <c r="D201"/>
  <c r="G201"/>
  <c r="F1470" i="28"/>
  <c r="D188" i="6"/>
  <c r="G188"/>
  <c r="F1464" i="28"/>
  <c r="G194" i="6"/>
  <c r="F1466" i="28"/>
  <c r="D191" i="6"/>
  <c r="D190"/>
  <c r="H190"/>
  <c r="D197"/>
  <c r="H197"/>
  <c r="D187"/>
  <c r="G187"/>
  <c r="F1463" i="28"/>
  <c r="D189" i="6"/>
  <c r="G189"/>
  <c r="D195"/>
  <c r="G195"/>
  <c r="F1467" i="28"/>
  <c r="D199" i="6"/>
  <c r="H199"/>
  <c r="D51"/>
  <c r="H51"/>
  <c r="D55"/>
  <c r="H55"/>
  <c r="D48"/>
  <c r="G48"/>
  <c r="D49"/>
  <c r="D52"/>
  <c r="G52"/>
  <c r="F79" i="28"/>
  <c r="D53" i="6"/>
  <c r="G53"/>
  <c r="F80" i="28"/>
  <c r="D56" i="6"/>
  <c r="G56"/>
  <c r="F81" i="28"/>
  <c r="D57" i="6"/>
  <c r="G57"/>
  <c r="F82" i="28"/>
  <c r="D54" i="6"/>
  <c r="H54"/>
  <c r="J75"/>
  <c r="J8" i="24"/>
  <c r="I74" i="6"/>
  <c r="G35"/>
  <c r="F37" i="28"/>
  <c r="D36" i="6"/>
  <c r="G36"/>
  <c r="F38" i="28"/>
  <c r="G31" i="6"/>
  <c r="F34" i="28"/>
  <c r="I64" i="6"/>
  <c r="I217"/>
  <c r="I92"/>
  <c r="I23" i="24"/>
  <c r="J93" i="6"/>
  <c r="B1440" i="28"/>
  <c r="B83"/>
  <c r="B84"/>
  <c r="B86"/>
  <c r="B87"/>
  <c r="B88"/>
  <c r="B89"/>
  <c r="B90"/>
  <c r="B91"/>
  <c r="B92"/>
  <c r="B93"/>
  <c r="B94"/>
  <c r="B95"/>
  <c r="B96"/>
  <c r="B97"/>
  <c r="B98"/>
  <c r="B99"/>
  <c r="B100"/>
  <c r="B76"/>
  <c r="B77"/>
  <c r="B78"/>
  <c r="B79"/>
  <c r="B80"/>
  <c r="B81"/>
  <c r="B82"/>
  <c r="G41" i="6"/>
  <c r="F77" i="28"/>
  <c r="H33"/>
  <c r="F1465"/>
  <c r="G202" i="6"/>
  <c r="M201"/>
  <c r="H191"/>
  <c r="D192"/>
  <c r="K218"/>
  <c r="K217"/>
  <c r="J217"/>
  <c r="J64"/>
  <c r="K65"/>
  <c r="K64"/>
  <c r="J74"/>
  <c r="K74"/>
  <c r="K75"/>
  <c r="G49"/>
  <c r="F78" i="28"/>
  <c r="D50" i="6"/>
  <c r="H50"/>
  <c r="H59"/>
  <c r="I111"/>
  <c r="K93"/>
  <c r="B1443" i="28"/>
  <c r="B1444"/>
  <c r="B1445"/>
  <c r="B1441"/>
  <c r="B1442"/>
  <c r="B85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01"/>
  <c r="G59" i="6"/>
  <c r="H138" i="28"/>
  <c r="F1429"/>
  <c r="D17" i="10"/>
  <c r="H192" i="6"/>
  <c r="D193"/>
  <c r="H193"/>
  <c r="G244"/>
  <c r="H18" i="23"/>
  <c r="J111" i="6"/>
  <c r="I110"/>
  <c r="I24" i="24"/>
  <c r="D76" i="6"/>
  <c r="G76"/>
  <c r="D77"/>
  <c r="D81"/>
  <c r="G81"/>
  <c r="F216" i="28"/>
  <c r="D84" i="6"/>
  <c r="G84"/>
  <c r="F217" i="28"/>
  <c r="D85" i="6"/>
  <c r="G85"/>
  <c r="F218" i="28"/>
  <c r="D82" i="6"/>
  <c r="H82"/>
  <c r="D83"/>
  <c r="H83"/>
  <c r="H7" i="23"/>
  <c r="H42" i="6"/>
  <c r="H44"/>
  <c r="B1446" i="28"/>
  <c r="B1447"/>
  <c r="B1448"/>
  <c r="B119"/>
  <c r="B120"/>
  <c r="B121"/>
  <c r="B122"/>
  <c r="B123"/>
  <c r="B124"/>
  <c r="B125"/>
  <c r="B126"/>
  <c r="H1151"/>
  <c r="H1065"/>
  <c r="H1073"/>
  <c r="M32" i="6"/>
  <c r="M34"/>
  <c r="M33"/>
  <c r="F213" i="28"/>
  <c r="H202" i="6"/>
  <c r="H203"/>
  <c r="H205"/>
  <c r="H8" i="23"/>
  <c r="G236" i="6"/>
  <c r="D79"/>
  <c r="D78"/>
  <c r="H78"/>
  <c r="G77"/>
  <c r="F214" i="28"/>
  <c r="J110" i="6"/>
  <c r="I133"/>
  <c r="I21" i="24"/>
  <c r="K111" i="6"/>
  <c r="H60"/>
  <c r="H62"/>
  <c r="B1451" i="28"/>
  <c r="B1452"/>
  <c r="B1453"/>
  <c r="B1449"/>
  <c r="B1450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J133" i="6"/>
  <c r="I132"/>
  <c r="K110"/>
  <c r="J24" i="24"/>
  <c r="H79" i="6"/>
  <c r="H87"/>
  <c r="D80"/>
  <c r="G80"/>
  <c r="G87"/>
  <c r="B1454" i="28"/>
  <c r="B1455"/>
  <c r="B1456"/>
  <c r="B1457"/>
  <c r="B150"/>
  <c r="B151"/>
  <c r="B152"/>
  <c r="B153"/>
  <c r="B154"/>
  <c r="B148"/>
  <c r="B149"/>
  <c r="G120" i="6"/>
  <c r="D112"/>
  <c r="H88"/>
  <c r="H90"/>
  <c r="H11" i="23"/>
  <c r="M88" i="6"/>
  <c r="G239"/>
  <c r="G253"/>
  <c r="D117"/>
  <c r="D118"/>
  <c r="G112"/>
  <c r="D113"/>
  <c r="D114"/>
  <c r="G114"/>
  <c r="D119"/>
  <c r="G119"/>
  <c r="D122"/>
  <c r="H122"/>
  <c r="D115"/>
  <c r="H115"/>
  <c r="D124"/>
  <c r="G124"/>
  <c r="F311" i="28"/>
  <c r="D123" i="6"/>
  <c r="G123"/>
  <c r="F310" i="28"/>
  <c r="D121" i="6"/>
  <c r="H121"/>
  <c r="D116"/>
  <c r="H116"/>
  <c r="K133"/>
  <c r="K132"/>
  <c r="J132"/>
  <c r="J21" i="24"/>
  <c r="G113" i="6"/>
  <c r="F305" i="28"/>
  <c r="B1460"/>
  <c r="B1461"/>
  <c r="B1458"/>
  <c r="B1459"/>
  <c r="B155"/>
  <c r="C157"/>
  <c r="B158"/>
  <c r="B159"/>
  <c r="B160"/>
  <c r="B161"/>
  <c r="B162"/>
  <c r="B163"/>
  <c r="B164"/>
  <c r="B165"/>
  <c r="B166"/>
  <c r="B167"/>
  <c r="M120" i="6"/>
  <c r="F309" i="28"/>
  <c r="M117" i="6"/>
  <c r="F306" i="28"/>
  <c r="F304"/>
  <c r="M119" i="6"/>
  <c r="F308" i="28"/>
  <c r="M116" i="6"/>
  <c r="G143"/>
  <c r="F936" i="28"/>
  <c r="D142" i="6"/>
  <c r="G142"/>
  <c r="G144"/>
  <c r="D145"/>
  <c r="G145"/>
  <c r="D134"/>
  <c r="G134"/>
  <c r="D135"/>
  <c r="G135"/>
  <c r="F932" i="28"/>
  <c r="D136" i="6"/>
  <c r="G136"/>
  <c r="F933" i="28"/>
  <c r="D138" i="6"/>
  <c r="D137"/>
  <c r="H137"/>
  <c r="G118"/>
  <c r="F307" i="28"/>
  <c r="H117" i="6"/>
  <c r="H127"/>
  <c r="H1209" i="28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H69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D157"/>
  <c r="F157"/>
  <c r="G127" i="6"/>
  <c r="M127"/>
  <c r="F931" i="28"/>
  <c r="D139" i="6"/>
  <c r="H138"/>
  <c r="M118"/>
  <c r="C1554" i="28"/>
  <c r="B1552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H14" i="23"/>
  <c r="H128" i="6"/>
  <c r="H130"/>
  <c r="G242"/>
  <c r="D9" i="10"/>
  <c r="D140" i="6"/>
  <c r="H139"/>
  <c r="D1554" i="28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206"/>
  <c r="B207"/>
  <c r="B208"/>
  <c r="B209"/>
  <c r="B210"/>
  <c r="B219"/>
  <c r="B220"/>
  <c r="B221"/>
  <c r="B211"/>
  <c r="B212"/>
  <c r="G141" i="6"/>
  <c r="H140"/>
  <c r="H149"/>
  <c r="B213" i="28"/>
  <c r="B214"/>
  <c r="B215"/>
  <c r="B216"/>
  <c r="B217"/>
  <c r="B218"/>
  <c r="B222"/>
  <c r="B223"/>
  <c r="B224"/>
  <c r="B225"/>
  <c r="B226"/>
  <c r="F934"/>
  <c r="F799"/>
  <c r="H147"/>
  <c r="G149" i="6"/>
  <c r="H15" i="23"/>
  <c r="H150" i="6"/>
  <c r="H152"/>
  <c r="M151"/>
  <c r="B234" i="28"/>
  <c r="B235"/>
  <c r="B236"/>
  <c r="B237"/>
  <c r="B238"/>
  <c r="B227"/>
  <c r="H929"/>
  <c r="G245" i="6"/>
  <c r="H1503" i="28"/>
  <c r="H1467"/>
  <c r="H1479"/>
  <c r="H1580"/>
  <c r="H1592"/>
  <c r="H1455"/>
  <c r="H1491"/>
  <c r="H1568"/>
  <c r="H1515"/>
  <c r="H1604"/>
  <c r="H1445"/>
  <c r="D12" i="10"/>
  <c r="B239" i="28"/>
  <c r="B240"/>
  <c r="B241"/>
  <c r="B249"/>
  <c r="B250"/>
  <c r="B251"/>
  <c r="B252"/>
  <c r="B255"/>
  <c r="B256"/>
  <c r="B228"/>
  <c r="B229"/>
  <c r="B230"/>
  <c r="B231"/>
  <c r="B232"/>
  <c r="B233"/>
  <c r="B242"/>
  <c r="B253"/>
  <c r="B254"/>
  <c r="B264"/>
  <c r="B265"/>
  <c r="B266"/>
  <c r="B267"/>
  <c r="B270"/>
  <c r="B271"/>
  <c r="B257"/>
  <c r="B268"/>
  <c r="B269"/>
  <c r="B279"/>
  <c r="B280"/>
  <c r="B281"/>
  <c r="B282"/>
  <c r="B283"/>
  <c r="B284"/>
  <c r="B285"/>
  <c r="B286"/>
  <c r="B287"/>
  <c r="B272"/>
  <c r="B243"/>
  <c r="B244"/>
  <c r="B245"/>
  <c r="B246"/>
  <c r="B247"/>
  <c r="B248"/>
  <c r="B258"/>
  <c r="B259"/>
  <c r="B260"/>
  <c r="B261"/>
  <c r="B262"/>
  <c r="B263"/>
  <c r="B273"/>
  <c r="B274"/>
  <c r="B275"/>
  <c r="B276"/>
  <c r="B277"/>
  <c r="B278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29"/>
  <c r="B330"/>
  <c r="B331"/>
  <c r="B332"/>
  <c r="B333"/>
  <c r="B334"/>
  <c r="B335"/>
  <c r="B346"/>
  <c r="B347"/>
  <c r="B348"/>
  <c r="B349"/>
  <c r="B350"/>
  <c r="B351"/>
  <c r="B352"/>
  <c r="B336"/>
  <c r="B337"/>
  <c r="B338"/>
  <c r="B339"/>
  <c r="B340"/>
  <c r="B341"/>
  <c r="B342"/>
  <c r="B343"/>
  <c r="B344"/>
  <c r="B345"/>
  <c r="B319"/>
  <c r="B320"/>
  <c r="B321"/>
  <c r="B322"/>
  <c r="B323"/>
  <c r="B324"/>
  <c r="B325"/>
  <c r="B326"/>
  <c r="B327"/>
  <c r="B328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53"/>
  <c r="B354"/>
  <c r="B355"/>
  <c r="B356"/>
  <c r="B357"/>
  <c r="B358"/>
  <c r="B359"/>
  <c r="B360"/>
  <c r="B361"/>
  <c r="B362"/>
  <c r="B380"/>
  <c r="C382"/>
  <c r="D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C622"/>
  <c r="B621"/>
  <c r="J92" i="6"/>
  <c r="J23" i="24"/>
  <c r="G94" i="6"/>
  <c r="F148" i="28"/>
  <c r="F27"/>
  <c r="H194"/>
  <c r="H1368"/>
  <c r="H1461"/>
  <c r="H1356"/>
  <c r="H1320"/>
  <c r="H1332"/>
  <c r="H1344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D622"/>
  <c r="G105" i="6"/>
  <c r="D8" i="10"/>
  <c r="H1609" i="28"/>
  <c r="H1611"/>
  <c r="H1308"/>
  <c r="H19"/>
  <c r="F7"/>
  <c r="H1296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M104" i="6"/>
  <c r="H13" i="23"/>
  <c r="H25"/>
  <c r="H7" i="28"/>
  <c r="G241" i="6"/>
  <c r="H106"/>
  <c r="H108"/>
  <c r="D20" i="10"/>
  <c r="I7" i="28"/>
  <c r="B798"/>
  <c r="C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K20" i="10"/>
  <c r="I25" i="23"/>
  <c r="H16" i="10"/>
  <c r="H18"/>
  <c r="H14"/>
  <c r="H10"/>
  <c r="H9"/>
  <c r="H12"/>
  <c r="H15"/>
  <c r="H17"/>
  <c r="H7"/>
  <c r="H13"/>
  <c r="H11"/>
  <c r="K22"/>
  <c r="H8"/>
  <c r="D799" i="28"/>
  <c r="C941"/>
  <c r="B939"/>
  <c r="H20" i="10"/>
  <c r="G7"/>
  <c r="G8"/>
  <c r="G9"/>
  <c r="G10"/>
  <c r="G11"/>
  <c r="G12"/>
  <c r="G13"/>
  <c r="G14"/>
  <c r="G15"/>
  <c r="G16"/>
  <c r="G17"/>
  <c r="G18"/>
  <c r="B942" i="28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D941"/>
  <c r="B1005"/>
  <c r="C1007"/>
  <c r="D1007"/>
</calcChain>
</file>

<file path=xl/comments1.xml><?xml version="1.0" encoding="utf-8"?>
<comments xmlns="http://schemas.openxmlformats.org/spreadsheetml/2006/main">
  <authors>
    <author>User</author>
  </authors>
  <commentList>
    <comment ref="F111" authorId="0">
      <text>
        <r>
          <rPr>
            <b/>
            <sz val="9"/>
            <color indexed="81"/>
            <rFont val="Tahoma"/>
            <charset val="1"/>
          </rPr>
          <t>2.000 m3 dari petok
sisa nya dari quary pakau 7.172 m3</t>
        </r>
      </text>
    </comment>
  </commentList>
</comments>
</file>

<file path=xl/comments2.xml><?xml version="1.0" encoding="utf-8"?>
<comments xmlns="http://schemas.openxmlformats.org/spreadsheetml/2006/main">
  <authors>
    <author>hp</author>
    <author>User</author>
  </authors>
  <commentList>
    <comment ref="C12" author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dipakai harga Bg Sian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<sst xmlns="http://schemas.openxmlformats.org/spreadsheetml/2006/main" count="6946" uniqueCount="474">
  <si>
    <t>Category</t>
  </si>
  <si>
    <t>Description</t>
  </si>
  <si>
    <t>BBM</t>
  </si>
  <si>
    <t>Taktis</t>
  </si>
  <si>
    <t>No.</t>
  </si>
  <si>
    <t>Mobilisasi</t>
  </si>
  <si>
    <t>Keterangan</t>
  </si>
  <si>
    <t>Uraian</t>
  </si>
  <si>
    <t>Volume</t>
  </si>
  <si>
    <t>Sat</t>
  </si>
  <si>
    <t>Jumlah</t>
  </si>
  <si>
    <t>1.2</t>
  </si>
  <si>
    <t>Ls</t>
  </si>
  <si>
    <t>3.2.(1b)</t>
  </si>
  <si>
    <t>Timbunan Biasa dari galian</t>
  </si>
  <si>
    <t>M3</t>
  </si>
  <si>
    <t>3.2.(2a)</t>
  </si>
  <si>
    <t>Timbunan Pilihan dari sumber galian</t>
  </si>
  <si>
    <t>3.3.(1)</t>
  </si>
  <si>
    <t>Penyiapan Badan Jalan</t>
  </si>
  <si>
    <t>M2</t>
  </si>
  <si>
    <t>Lapis Pondasi Agregat Kelas A</t>
  </si>
  <si>
    <t>6.1 (1)(a)</t>
  </si>
  <si>
    <t>7.9.(1)</t>
  </si>
  <si>
    <t>Pasangan Batu</t>
  </si>
  <si>
    <t>A.</t>
  </si>
  <si>
    <t>Administrasi</t>
  </si>
  <si>
    <t>Out Sourching</t>
  </si>
  <si>
    <t>Mobilisasi Greder dari Basecamp Kiawai</t>
  </si>
  <si>
    <t>Mobilisasi Vibro dari Basecamp Kiawai</t>
  </si>
  <si>
    <t>Mobilisasi Excavator dari Basecamp Kiawai</t>
  </si>
  <si>
    <t>Pengukuran, Penggambaran dan MC-0 (4.1 x 7.500.000)</t>
  </si>
  <si>
    <t>Biaya Kontrak</t>
  </si>
  <si>
    <t>MOBILISASI &amp; ADMINISTRASI</t>
  </si>
  <si>
    <t>Biaya Lapangan
[Rp.]</t>
  </si>
  <si>
    <t>Beban Kantor
[Rp.]</t>
  </si>
  <si>
    <t>Tgl. 
Selesai Pel.</t>
  </si>
  <si>
    <t>Tgl. 
Mulai Pel.</t>
  </si>
  <si>
    <t>Start clearing semak Lokasi</t>
  </si>
  <si>
    <t>B.</t>
  </si>
  <si>
    <t>TIMBUNAN BIASA DARI SUMBER GALIAN</t>
  </si>
  <si>
    <t>Mobilisasi Excavator dari Lokasi Clearing ke Quary</t>
  </si>
  <si>
    <t>Material</t>
  </si>
  <si>
    <t>Beli Bahan Material Timbunan di Quary 450 DT @ 50.000</t>
  </si>
  <si>
    <t>Volume Lepas 4.200 M3</t>
  </si>
  <si>
    <t>BBM DT  450 Rit x 7 ltr x 6.900</t>
  </si>
  <si>
    <t>Beli di SPBU</t>
  </si>
  <si>
    <t xml:space="preserve">BBM Excavator </t>
  </si>
  <si>
    <t>@ [Rp.]</t>
  </si>
  <si>
    <t>Ltr</t>
  </si>
  <si>
    <t>Jumlah Hari</t>
  </si>
  <si>
    <t>Hr</t>
  </si>
  <si>
    <t>Sewa Excavator</t>
  </si>
  <si>
    <t>Sewa Alat</t>
  </si>
  <si>
    <t>Jam</t>
  </si>
  <si>
    <t>Sewa Vibro + Greder</t>
  </si>
  <si>
    <t>Gaji Operator Excavator</t>
  </si>
  <si>
    <t>Gaji/Upah</t>
  </si>
  <si>
    <t>Gaji Operator Vibro</t>
  </si>
  <si>
    <t>OH</t>
  </si>
  <si>
    <t>BBM Excavator 150 Ltr/Hr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</si>
  <si>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</si>
  <si>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</si>
  <si>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</si>
  <si>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</si>
  <si>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</si>
  <si>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</si>
  <si>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</si>
  <si>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</si>
  <si>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</si>
  <si>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</si>
  <si>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</si>
  <si>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</si>
  <si>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Total Biaya</t>
  </si>
  <si>
    <t>Harga Modal Per M3</t>
  </si>
  <si>
    <t>/M3</t>
  </si>
  <si>
    <t>Taktis operasional lapangan</t>
  </si>
  <si>
    <t>C.</t>
  </si>
  <si>
    <t>TIMBUNAN PILIHAN DARI SUMBER GALIAN</t>
  </si>
  <si>
    <t xml:space="preserve">PK Alat </t>
  </si>
  <si>
    <t>Hari</t>
  </si>
  <si>
    <t>BBM Water Tank  30 Ltr/Hr</t>
  </si>
  <si>
    <t>D.</t>
  </si>
  <si>
    <t>unit</t>
  </si>
  <si>
    <t>Rit/hr</t>
  </si>
  <si>
    <t>E.</t>
  </si>
  <si>
    <t>Gaji Operator Greder (Dayat)</t>
  </si>
  <si>
    <t>Uang Mandah Operator 3 Org</t>
  </si>
  <si>
    <t>Unit hr</t>
  </si>
  <si>
    <t>Hari + Libur Lebaran 14 Hr</t>
  </si>
  <si>
    <t>F.</t>
  </si>
  <si>
    <t>LAPIS PONDASI AGREGAT KLAS A</t>
  </si>
  <si>
    <t>Ton</t>
  </si>
  <si>
    <t>Biaya Produksi Material Klas A (dari Basecamp)</t>
  </si>
  <si>
    <t xml:space="preserve">Hari </t>
  </si>
  <si>
    <t>BBM Alat Paving set 200 Ltr/Hr</t>
  </si>
  <si>
    <t>Sewa Paving Set</t>
  </si>
  <si>
    <t>Gaji Operator Paving Set</t>
  </si>
  <si>
    <t>Gaji Foreman</t>
  </si>
  <si>
    <t>Uang Mandah Operator &amp; Foreman 4 Org</t>
  </si>
  <si>
    <t>Unit</t>
  </si>
  <si>
    <t>rit/hr</t>
  </si>
  <si>
    <t>Uang Makan malam team hampar &amp; operator 10 Org</t>
  </si>
  <si>
    <t>Makan Pagi dan Malam</t>
  </si>
  <si>
    <t>Asumsi 200 ton / hari</t>
  </si>
  <si>
    <t>/Ton</t>
  </si>
  <si>
    <t>LASTON LAPIS AUS AC-WC</t>
  </si>
  <si>
    <t>Biaya Produksi Aspal Hotmix AC-WC (dari Basecamp)</t>
  </si>
  <si>
    <t>H.</t>
  </si>
  <si>
    <t>PRIME COAT &amp; TACK COAT</t>
  </si>
  <si>
    <t>Aspal Emulsi</t>
  </si>
  <si>
    <t>Sewa Aspal Sprayer</t>
  </si>
  <si>
    <t>Gaji Operator &amp; Kenek</t>
  </si>
  <si>
    <t>Minyak Tanah 35 Ltr/Hr</t>
  </si>
  <si>
    <t>BBM Mobil Sprayer 30 Ltr/hr</t>
  </si>
  <si>
    <t>Uang Mandah Operator &amp; Kenek</t>
  </si>
  <si>
    <t>I.</t>
  </si>
  <si>
    <t>PASANGAN BATU</t>
  </si>
  <si>
    <t>Di Sub Kontrakkan</t>
  </si>
  <si>
    <t>Subcon</t>
  </si>
  <si>
    <t>Harga Modal Per Ltr</t>
  </si>
  <si>
    <t>K.</t>
  </si>
  <si>
    <t>Gaji Supir Water Tank</t>
  </si>
  <si>
    <t>Harga Modal Per Ton</t>
  </si>
  <si>
    <t>Demobilisasi</t>
  </si>
  <si>
    <t>Demobilisasi semua alat</t>
  </si>
  <si>
    <t xml:space="preserve">BUDGET HARGA SATUAN </t>
  </si>
  <si>
    <t>Kg</t>
  </si>
  <si>
    <t>Liter</t>
  </si>
  <si>
    <t>Total</t>
  </si>
  <si>
    <t>Total Biaya Lapangan
[Rp.]</t>
  </si>
  <si>
    <t>TOTAL</t>
  </si>
  <si>
    <t>3.1.(1a)</t>
  </si>
  <si>
    <t>Galian Biasa</t>
  </si>
  <si>
    <t>3.1.(2)</t>
  </si>
  <si>
    <t>Galian Batu</t>
  </si>
  <si>
    <t>4.2.(2b)</t>
  </si>
  <si>
    <t>Baja Tulangan U 24 Polos</t>
  </si>
  <si>
    <t>Bronjong dengan kawat yang dilapisi galvanis</t>
  </si>
  <si>
    <t>Mandor</t>
  </si>
  <si>
    <t>Pekerja Biasa</t>
  </si>
  <si>
    <t>1.8(1)</t>
  </si>
  <si>
    <t>Beton mutu sedang fc’20 Mpa</t>
  </si>
  <si>
    <t>7.10.(3)a.</t>
  </si>
  <si>
    <t>JUMLAH</t>
  </si>
  <si>
    <t>MANAJEMEN DAN KESELAMATAN LALU LINTAS</t>
  </si>
  <si>
    <t>Pengukuran, Penggambaran dan MC-0 (4.5 x 8.250.000)</t>
  </si>
  <si>
    <t>Biaya Rambu - rambu manajemen lalu lintas</t>
  </si>
  <si>
    <t>Pas</t>
  </si>
  <si>
    <t>Bh</t>
  </si>
  <si>
    <t>PEKERJAAN GALIAN UNTUK SELOKAN DRAINASE DAN SAL AIR</t>
  </si>
  <si>
    <t xml:space="preserve">Mobilisasi Excavator </t>
  </si>
  <si>
    <t>PEKERJAAN GALIAN BIASA</t>
  </si>
  <si>
    <t>PASANGAN BATU DENGAN MORTAR</t>
  </si>
  <si>
    <t>GORONG2 PIPA BETON BERTULANG 70-100</t>
  </si>
  <si>
    <t>PEKERJAAN GALIAN BATU</t>
  </si>
  <si>
    <t>PENYIAPAN BADAN JALAN</t>
  </si>
  <si>
    <t>LAPIS PONDASI AGREGAT KLAS S</t>
  </si>
  <si>
    <t>Biaya Produksi Material Klas S (dari Basecamp)</t>
  </si>
  <si>
    <t>mgg</t>
  </si>
  <si>
    <t>L.</t>
  </si>
  <si>
    <t>M.</t>
  </si>
  <si>
    <t>N.</t>
  </si>
  <si>
    <t>O.</t>
  </si>
  <si>
    <t>P.</t>
  </si>
  <si>
    <t>Q.</t>
  </si>
  <si>
    <t>R.</t>
  </si>
  <si>
    <t>Biaya Plank Nama Proyek</t>
  </si>
  <si>
    <t>Ditargetken 300 M3/hr</t>
  </si>
  <si>
    <t xml:space="preserve">Sewa DT </t>
  </si>
  <si>
    <t>BBM Vibro + Greder (50 Ltr + 80 Ltr = 130 Ltr/Hr)</t>
  </si>
  <si>
    <t>Operasional kru hampar</t>
  </si>
  <si>
    <t>Uang Mandah Supir 10 Org</t>
  </si>
  <si>
    <t xml:space="preserve">Gaji Supir  1 Unit </t>
  </si>
  <si>
    <t>BBM DT 5 Ltr/Rit x 7 rit/hr =35 Ltr/Hr</t>
  </si>
  <si>
    <t>Sepatu Safety (pu 2,Kons 3,) = 5 Pas</t>
  </si>
  <si>
    <t>Taktis operasional lapangan (Rekayasa Lapangan)</t>
  </si>
  <si>
    <t>Km</t>
  </si>
  <si>
    <t>Setelah dikurangi 14 Hr libur</t>
  </si>
  <si>
    <t>lebaran</t>
  </si>
  <si>
    <t>waktu (hr)</t>
  </si>
  <si>
    <t>solar</t>
  </si>
  <si>
    <t>rit sopir</t>
  </si>
  <si>
    <t>polis</t>
  </si>
  <si>
    <t>Tenaga Harian 1 org</t>
  </si>
  <si>
    <t>hr</t>
  </si>
  <si>
    <t>Tenaga Harian 2 org</t>
  </si>
  <si>
    <t xml:space="preserve">Uang Mandah Supir 1 Org + 1 Opr Excavator + 1 Kenek Excavator </t>
  </si>
  <si>
    <t>Uang Mandah Opr 3 Org</t>
  </si>
  <si>
    <t>Periode</t>
  </si>
  <si>
    <t>Ket.</t>
  </si>
  <si>
    <t>REQUEST PROJECT PASAMAN BARAT 2015</t>
  </si>
  <si>
    <t>Tanggal</t>
  </si>
  <si>
    <t>Kode Paket</t>
  </si>
  <si>
    <t>Posting</t>
  </si>
  <si>
    <t>P-5E</t>
  </si>
  <si>
    <t>Sewa Mes 6 bln</t>
  </si>
  <si>
    <t>Manajemen Kesja</t>
  </si>
  <si>
    <t>Makan siang</t>
  </si>
  <si>
    <t>Pek Penyiapan Badan Jalan</t>
  </si>
  <si>
    <t>P.bdn jln</t>
  </si>
  <si>
    <t>Pk Alat</t>
  </si>
  <si>
    <t>Pek Galian Selokan Drainase</t>
  </si>
  <si>
    <t xml:space="preserve">BBM Excavator 150 Ltr/Hr </t>
  </si>
  <si>
    <t>Galian Drainase</t>
  </si>
  <si>
    <t>Pek Galian Biasa</t>
  </si>
  <si>
    <t>G. Biasa</t>
  </si>
  <si>
    <t>Pek Timbunan Biasa Dari Galian</t>
  </si>
  <si>
    <t>T. Biasa</t>
  </si>
  <si>
    <t>T. pilihan</t>
  </si>
  <si>
    <t>pk</t>
  </si>
  <si>
    <t>Lapis Pondasi Aggregat Kelas A</t>
  </si>
  <si>
    <t>Kelas A</t>
  </si>
  <si>
    <t>AC-WC</t>
  </si>
  <si>
    <t>Primecoat</t>
  </si>
  <si>
    <t>Kelas S</t>
  </si>
  <si>
    <t>Mobilisasi Paving Set 3 unit x 500.000</t>
  </si>
  <si>
    <t>Libur Lebaran</t>
  </si>
  <si>
    <t>mobilisasi</t>
  </si>
  <si>
    <t>Biaya Izin Pelaksanaan (Camat,Wali,Jorong,Polsek,Koramil)</t>
  </si>
  <si>
    <t>petok</t>
  </si>
  <si>
    <t>mbil</t>
  </si>
  <si>
    <t>exca</t>
  </si>
  <si>
    <t>Rp</t>
  </si>
  <si>
    <t>Beli Bahan Material Timbunan Biasa/cadas di lokasi</t>
  </si>
  <si>
    <t>Biaya Lain</t>
  </si>
  <si>
    <t>Makan Malam 2 org PU,3 Konsultan</t>
  </si>
  <si>
    <t>Makan</t>
  </si>
  <si>
    <t>hari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</si>
  <si>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</si>
  <si>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</si>
  <si>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</si>
  <si>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</si>
  <si>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</si>
  <si>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</si>
  <si>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</si>
  <si>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</si>
  <si>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</si>
  <si>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</si>
  <si>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</si>
  <si>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</si>
  <si>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</si>
  <si>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</si>
  <si>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</si>
  <si>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</si>
  <si>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</si>
  <si>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</si>
  <si>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Biaya lain - Lain</t>
  </si>
  <si>
    <t xml:space="preserve">REKAP BUDGET HARGA SATUAN </t>
  </si>
  <si>
    <t>Tahun 2015</t>
  </si>
  <si>
    <t>Biaya Lain lain</t>
  </si>
  <si>
    <t>Total Perminggu</t>
  </si>
  <si>
    <t>Paket  : Pembangunan Jalan Lubuk Sikaping - Talu (SP.157)</t>
  </si>
  <si>
    <t>REKAP KEBUTUHAN DANA PER 2 MINGGU</t>
  </si>
  <si>
    <t>%</t>
  </si>
  <si>
    <t>Jenis Peralatan</t>
  </si>
  <si>
    <t>Nama Paket</t>
  </si>
  <si>
    <t>Lokasi</t>
  </si>
  <si>
    <t>PERALATAN</t>
  </si>
  <si>
    <t>No</t>
  </si>
  <si>
    <t>Mulai</t>
  </si>
  <si>
    <t>Selesai</t>
  </si>
  <si>
    <t xml:space="preserve">Excavator </t>
  </si>
  <si>
    <t>Vibro Comp</t>
  </si>
  <si>
    <t>Motor Grader</t>
  </si>
  <si>
    <t>Water Tank</t>
  </si>
  <si>
    <t>Aspal Finisher</t>
  </si>
  <si>
    <t>Aspal Sprayer</t>
  </si>
  <si>
    <t>Tandem</t>
  </si>
  <si>
    <t>PTR</t>
  </si>
  <si>
    <t>Dump Truck</t>
  </si>
  <si>
    <t>MATERIAL</t>
  </si>
  <si>
    <t>Jenis Material</t>
  </si>
  <si>
    <t>Awal</t>
  </si>
  <si>
    <t>Akhir</t>
  </si>
  <si>
    <t>Lapis Pondasi Agregat Kelas S</t>
  </si>
  <si>
    <t>Timbunan pilihan</t>
  </si>
  <si>
    <t>Laston Lapis Aus (AC-WC) (gradasi halus/kasar)</t>
  </si>
  <si>
    <t>Schedule Peralatan dan Bahan</t>
  </si>
  <si>
    <t>: Pembangunan Jalan Lubuk Sikaping - Talu (SP.157)</t>
  </si>
  <si>
    <t>Buldozer</t>
  </si>
  <si>
    <t>Dialokasikan saat yg bersang-</t>
  </si>
  <si>
    <t>kutan berada dilapangan</t>
  </si>
  <si>
    <t>Timbunan Biasa</t>
  </si>
  <si>
    <t>V.lap</t>
  </si>
  <si>
    <t>:</t>
  </si>
  <si>
    <t>HARGA</t>
  </si>
  <si>
    <t>URAIAN PEKERJAAN</t>
  </si>
  <si>
    <t>SATUAN</t>
  </si>
  <si>
    <t>VOLUME</t>
  </si>
  <si>
    <t>Sub Pasangan Batu dengan Mortar</t>
  </si>
  <si>
    <t>Sub Pasangan Batu</t>
  </si>
  <si>
    <t>Sub Beton Mutu sedang Fc'20 Mpa</t>
  </si>
  <si>
    <t>Sub Bronjong</t>
  </si>
  <si>
    <t>m1</t>
  </si>
  <si>
    <t>Daftar Pekerjaan yang di Subkan</t>
  </si>
  <si>
    <t>ok</t>
  </si>
  <si>
    <t>Jumlah Volume MC-0</t>
  </si>
  <si>
    <t>Analisa Bahan Sirtu/Timbunan Pilihan Dari Quary Petok</t>
  </si>
  <si>
    <t>Jaga Alat/hari</t>
  </si>
  <si>
    <t>Total (Rp)</t>
  </si>
  <si>
    <t>Rental Mobil/hari</t>
  </si>
  <si>
    <t>Harga materil/Rit</t>
  </si>
  <si>
    <t>Minyak Mobil/Rit</t>
  </si>
  <si>
    <t>Minyak Exca/Rit</t>
  </si>
  <si>
    <t>Muatan/Rit 9 Bucket = 7 M3</t>
  </si>
  <si>
    <t>Harga/m3</t>
  </si>
  <si>
    <t>Material dari Quary Petok</t>
  </si>
  <si>
    <t>Buldozer (200 Ltr/Hr) selama 4 hari</t>
  </si>
  <si>
    <t>Panjang penanganan/hari 500 m</t>
  </si>
  <si>
    <t>BBM Excavator 150 Ltr/Hr selama 4 hari</t>
  </si>
  <si>
    <t>BBM Vibro 80 Ltr /hari selama 4 hari</t>
  </si>
  <si>
    <t>Mobilisasi Excavator Quary Lapangan</t>
  </si>
  <si>
    <t>Gaji Operator Rentar Grader</t>
  </si>
  <si>
    <t>Gaji Operator Rentar Buldozer</t>
  </si>
  <si>
    <t>target 500 m/hari = 270 m3</t>
  </si>
  <si>
    <t>1.560 m3 utk badan</t>
  </si>
  <si>
    <t xml:space="preserve">rata2 total kubikasi per hari </t>
  </si>
  <si>
    <t>Gaji sopir/hari</t>
  </si>
  <si>
    <t>Rental Exca</t>
  </si>
  <si>
    <t>Operator + helper</t>
  </si>
  <si>
    <t>Minyak Loader/Rit</t>
  </si>
  <si>
    <t>Rental Loader</t>
  </si>
  <si>
    <t>Analisa Bahan Sirtu/Timbunan Pilihan Dari Quary Pakau (BaseCamp) mobil Rental</t>
  </si>
  <si>
    <t>Analisa Bahan Sirtu/Timbunan Pilihan Dari Quary Pakau (BaseCamp) mobil Intercoler</t>
  </si>
  <si>
    <t>Muatan/Rit 10 m3</t>
  </si>
  <si>
    <t xml:space="preserve">Analisa Bahan Sirtu/Timbunan Pilihan Dari Quary Petok mobil intercooler (kuari bru) </t>
  </si>
  <si>
    <t>intercoler 4 unit</t>
  </si>
  <si>
    <t xml:space="preserve">Analisa Bahan Sirtu/Timbunan Pilihan Dari Quary Petok upah gendong tiper (kuari bru) </t>
  </si>
  <si>
    <t>tiper 15 unit</t>
  </si>
  <si>
    <t>Rental Mobil/rit</t>
  </si>
  <si>
    <t>Muatan/Rit 4 m3</t>
  </si>
  <si>
    <t>engkel</t>
  </si>
  <si>
    <t>Mobil rental</t>
  </si>
  <si>
    <t>rit</t>
  </si>
  <si>
    <t>bbm</t>
  </si>
  <si>
    <t>Rental Exca/rit</t>
  </si>
  <si>
    <t>Mobil engkel rental</t>
  </si>
  <si>
    <t>rekap</t>
  </si>
  <si>
    <t>tiper gendong</t>
  </si>
  <si>
    <t>engkel + intercooler</t>
  </si>
  <si>
    <t>rata2/m3</t>
  </si>
  <si>
    <t>intercoler</t>
  </si>
  <si>
    <t>material diluar bbm</t>
  </si>
  <si>
    <t>rata biaya/m3</t>
  </si>
  <si>
    <t>G.</t>
  </si>
  <si>
    <t>J.</t>
  </si>
  <si>
    <t>T</t>
  </si>
  <si>
    <t>Biaya Lapangan
[Rp.] (Kontrak)</t>
  </si>
  <si>
    <t>Biaya Lapangan
[Rp.] (Setelah MC-0)</t>
  </si>
  <si>
    <t>Volume Kontrak Awal</t>
  </si>
  <si>
    <t>Volume MC - 0</t>
  </si>
  <si>
    <t>jarak</t>
  </si>
  <si>
    <t>Mobilisasi Buldozer 1 unit dari Medan (Rental)</t>
  </si>
  <si>
    <t>Intercooler rit 1</t>
  </si>
  <si>
    <t>Intercooler rit 2 dan 3</t>
  </si>
  <si>
    <t>basecam simp.daliak 20 km</t>
  </si>
  <si>
    <t>BBM 2 Intercoler + 7 engkel rata2 403 Ltr/Rit x 3 rit/hr =931 Ltr/Hr</t>
  </si>
  <si>
    <t xml:space="preserve">Gaji Supir  9 Unit </t>
  </si>
  <si>
    <t>200 m3</t>
  </si>
  <si>
    <t xml:space="preserve">Dengan mobil rental 7 unit </t>
  </si>
  <si>
    <t>engkel '+ 2 intercoler</t>
  </si>
  <si>
    <t>Material lepas 4.559 x 1,3</t>
  </si>
  <si>
    <t>Berakir tgl 18 Agustus</t>
  </si>
  <si>
    <t xml:space="preserve">Beli Bahan Material Sirtu di Quary Petok </t>
  </si>
  <si>
    <t>untuk bahu dan badan jalan</t>
  </si>
  <si>
    <t>Target rencana 200 m3/hr</t>
  </si>
  <si>
    <t>Sepatu Safety (pu 1,Kons 3,1 pelaksana) = 5 Pas</t>
  </si>
  <si>
    <t>drainase</t>
  </si>
  <si>
    <t>Mobilisasi Greder dari Basecamp - Talu</t>
  </si>
  <si>
    <t>Mobilisasi Vibro dari Basecamp - Talu</t>
  </si>
  <si>
    <t>Mobilisasi Excavator dari Basecamp - Talu</t>
  </si>
  <si>
    <t>b.lain</t>
  </si>
  <si>
    <t>Bobot (%)</t>
  </si>
  <si>
    <t>dibulatkan</t>
  </si>
  <si>
    <t>Uang Mandah Opr vibro 1 Org</t>
  </si>
  <si>
    <t>BBM Vibro + Greder (50 Ltr + 80 Ltr = 130 Ltr/Hr) 5 hari</t>
  </si>
  <si>
    <t>Gaji Operator Rentar Grader 5 hari</t>
  </si>
  <si>
    <t>Gaji Operator Rentar Buldozer 4 hari</t>
  </si>
  <si>
    <t>ltr</t>
  </si>
  <si>
    <t xml:space="preserve">opnam timb.biasa berdasarkan </t>
  </si>
  <si>
    <t>kubikasi diatas mobil</t>
  </si>
  <si>
    <t>BBM DT 2 Ltr/Rit x 411 rit = 821 Ltr</t>
  </si>
  <si>
    <t>m3/hr</t>
  </si>
  <si>
    <t>Uang Mandah Opr 1 Org</t>
  </si>
  <si>
    <t xml:space="preserve">digunakan material cadas </t>
  </si>
  <si>
    <t>2.546,25 m3 utk bahu</t>
  </si>
  <si>
    <t>Tenaga Harian 3 org</t>
  </si>
  <si>
    <t>Uang Mandah Operator 2 Org</t>
  </si>
  <si>
    <t>Uang Mandah Opr 2 Org</t>
  </si>
  <si>
    <t>Mobilisasi Vibro + exca</t>
  </si>
  <si>
    <t>acwc</t>
  </si>
  <si>
    <t>DAFTAR KUANTITAS</t>
  </si>
  <si>
    <t>MUTUAL CHECK 0</t>
  </si>
  <si>
    <t>Paket</t>
  </si>
  <si>
    <t>Pembangunan Jalan Lubuk Sikaping - Talu (SP.157)</t>
  </si>
  <si>
    <t>kontraktor</t>
  </si>
  <si>
    <t>PT. Ananda Pratama</t>
  </si>
  <si>
    <t>Nomor</t>
  </si>
  <si>
    <t>609/90/KTR/KPA-JJ/IV/2015</t>
  </si>
  <si>
    <t>Konsultan</t>
  </si>
  <si>
    <t>PT.Dhanesmantara Consultan Jo PT.Seecons</t>
  </si>
  <si>
    <t>No. Item</t>
  </si>
  <si>
    <t>Harga satuan</t>
  </si>
  <si>
    <t>Kontrak Awal</t>
  </si>
  <si>
    <t xml:space="preserve"> [Balance Budget]</t>
  </si>
  <si>
    <t>% VOLUME</t>
  </si>
  <si>
    <t>Pekerjaan [ +/- ]</t>
  </si>
  <si>
    <t>Jumlah Harga</t>
  </si>
  <si>
    <t>Bobot</t>
  </si>
  <si>
    <t>TERHADAP</t>
  </si>
  <si>
    <t>Pekerjaan Tambah [ + ]</t>
  </si>
  <si>
    <t>Pekerjaan Tambah [ - ]</t>
  </si>
  <si>
    <t>KONRAK</t>
  </si>
  <si>
    <t>AWAL</t>
  </si>
  <si>
    <t>Divisi 1. UMUM</t>
  </si>
  <si>
    <t xml:space="preserve">Manajemen dan Keselamatan Lalu Lintas </t>
  </si>
  <si>
    <t>Divisi 2. DRAINASE</t>
  </si>
  <si>
    <t>2.1.(1)</t>
  </si>
  <si>
    <t>Galian untuk Selokan Drainase dan Saluran Air</t>
  </si>
  <si>
    <t>2.2.(1)</t>
  </si>
  <si>
    <t>Pasangan batu dengan mortar</t>
  </si>
  <si>
    <t>2.3.(4)</t>
  </si>
  <si>
    <t>Gorong Mgorong Pipa Beton Bertulang,diameter dalam 95 M-105 cm</t>
  </si>
  <si>
    <t>M1</t>
  </si>
  <si>
    <t>Divisi 3. PEKERJAAN TANAH</t>
  </si>
  <si>
    <t>Divisi 4. PELEBARAN PERKERASAN DAN BAHU JALAN</t>
  </si>
  <si>
    <t>Divisi 5. PERKERASAN BERBUTIR DAN PERKERASAN BETON SEMEN</t>
  </si>
  <si>
    <t>5.1.(1)</t>
  </si>
  <si>
    <t>Divisi 6. PERKERSAN ASPAL</t>
  </si>
  <si>
    <t>Lapis Resap Pengikat - Aspal Cair</t>
  </si>
  <si>
    <t>6.3 (6a)</t>
  </si>
  <si>
    <t>Laston  Lapis Aus AC-WC</t>
  </si>
  <si>
    <t>6.3.(8)</t>
  </si>
  <si>
    <t>Bahan'anti'pengelupasan</t>
  </si>
  <si>
    <t>Divisi 7. STRUKTUR</t>
  </si>
  <si>
    <t>7.1 (7)a</t>
  </si>
  <si>
    <t>7.3 (1)</t>
  </si>
  <si>
    <t>Baja Tulangan BJ 24 Polos</t>
  </si>
  <si>
    <t>Divisi 9. PEKERJAAN HARIAN</t>
  </si>
  <si>
    <t>9.1.(1)</t>
  </si>
  <si>
    <t>9.2.(1)</t>
  </si>
  <si>
    <t>9.4.(4a)</t>
  </si>
  <si>
    <t>Tukang'Kayu,'Tukang'Batu,'dsb</t>
  </si>
  <si>
    <t>PPn 10 %</t>
  </si>
  <si>
    <t>Dibulatkan</t>
  </si>
  <si>
    <t>Disetujui Oleh :</t>
  </si>
  <si>
    <t>Diperiksa Oleh :</t>
  </si>
  <si>
    <t>Diajukan Oleh :</t>
  </si>
  <si>
    <t>PEJABAT PELAKSANA TEKNIS KEGIATAN (PPTK)</t>
  </si>
  <si>
    <t>Konsultan Supervisi</t>
  </si>
  <si>
    <t>Kontraktor</t>
  </si>
  <si>
    <t>PT. ANANDA PRATAMA</t>
  </si>
  <si>
    <t>Ir. DEWI KARNIDA, MT</t>
  </si>
  <si>
    <t>Ir.  IRZAN MASRI</t>
  </si>
  <si>
    <t>MULYADI</t>
  </si>
  <si>
    <t>NIP. 19641110 199403 2 003</t>
  </si>
  <si>
    <t>Supervision Engineer</t>
  </si>
  <si>
    <t>General Superintendent</t>
  </si>
  <si>
    <t>ctt: di 0 (nol) kan di beton</t>
  </si>
  <si>
    <r>
      <t>M</t>
    </r>
    <r>
      <rPr>
        <vertAlign val="superscript"/>
        <sz val="11"/>
        <color indexed="8"/>
        <rFont val="Times New Roman"/>
        <family val="1"/>
      </rPr>
      <t>3</t>
    </r>
  </si>
  <si>
    <t>Target bobot tdk</t>
  </si>
  <si>
    <t>bisa berdasarkan</t>
  </si>
  <si>
    <t>Persentase uang -</t>
  </si>
  <si>
    <t>terpakai terhadap</t>
  </si>
  <si>
    <t>budget</t>
  </si>
  <si>
    <t>koreksi</t>
  </si>
  <si>
    <t>Rekap budget</t>
  </si>
  <si>
    <t>sirtu</t>
  </si>
  <si>
    <t>kls A, AC WC</t>
  </si>
  <si>
    <t xml:space="preserve">Intercooler rit </t>
  </si>
  <si>
    <t>BBM 2 Intercoler + 7 engkel rata2 235 Ltr/Rit x 3 rit/hr =705 Ltr/Hr</t>
  </si>
  <si>
    <t>BBM 2 Intercoler + 7 engkel rata2 319 Ltr/Rit x 3 rit/hr =957 Ltr/Hr</t>
  </si>
  <si>
    <t>BBM 2 Intercoler + 7 engkel rata2 12 rit/hr x 30 ltr =360 Ltr/Hr</t>
  </si>
</sst>
</file>

<file path=xl/styles.xml><?xml version="1.0" encoding="utf-8"?>
<styleSheet xmlns="http://schemas.openxmlformats.org/spreadsheetml/2006/main">
  <numFmts count="37">
    <numFmt numFmtId="42" formatCode="_(&quot;Rp&quot;* #,##0_);_(&quot;Rp&quot;* \(#,##0\);_(&quot;Rp&quot;* &quot;-&quot;_);_(@_)"/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&quot;IDR&quot;#,##0;[Red]\-&quot;IDR&quot;#,##0"/>
    <numFmt numFmtId="165" formatCode="_-&quot;IDR&quot;* #,##0_-;\-&quot;IDR&quot;* #,##0_-;_-&quot;IDR&quot;* &quot;-&quot;_-;_-@_-"/>
    <numFmt numFmtId="166" formatCode="_-* #,##0_-;\-* #,##0_-;_-* &quot;-&quot;_-;_-@_-"/>
    <numFmt numFmtId="167" formatCode="_-* #,##0.00_-;\-* #,##0.00_-;_-* &quot;-&quot;??_-;_-@_-"/>
    <numFmt numFmtId="168" formatCode="#,##0_ ;[Red]\-#,##0\ "/>
    <numFmt numFmtId="169" formatCode="_(* #,##0.00_);_(* \(#,##0.00\);_(* &quot;-&quot;_);_(@_)"/>
    <numFmt numFmtId="170" formatCode="\\#,##0.00;[Red]&quot;\\\\\\-&quot;#,##0.00"/>
    <numFmt numFmtId="171" formatCode="\\#,##0;[Red]&quot;\\-&quot;#,##0"/>
    <numFmt numFmtId="172" formatCode="_-* #,##0_-;\-* #,##0_-;_-* \-_-;_-@_-"/>
    <numFmt numFmtId="173" formatCode="0.0000"/>
    <numFmt numFmtId="174" formatCode="_(* #,##0.0_);_(* \(#,##0.0\);_(* &quot;-&quot;?_);_(@_)"/>
    <numFmt numFmtId="175" formatCode="\$#,##0\ ;&quot;($&quot;#,##0\)"/>
    <numFmt numFmtId="176" formatCode="0.00_)"/>
    <numFmt numFmtId="177" formatCode="#,##0.00&quot;  &quot;"/>
    <numFmt numFmtId="178" formatCode="_ * #,##0_ ;_ * \-#,##0_ ;_ * \-??_ ;_ @_ "/>
    <numFmt numFmtId="179" formatCode="#,##0.00\ "/>
    <numFmt numFmtId="180" formatCode="0&quot;    &quot;"/>
    <numFmt numFmtId="181" formatCode="#,##0.00&quot;   &quot;"/>
    <numFmt numFmtId="182" formatCode="_-* #,##0.0\ _F_-;\-* #,##0.0\ _F_-;_-* \-?\ _F_-;_-@_-"/>
    <numFmt numFmtId="183" formatCode="_(* #,##0_);_(* \(#,##0\);_(* \-??_);_(@_)"/>
    <numFmt numFmtId="184" formatCode="_-* #,##0\ _F_-;\-* #,##0\ _F_-;_-* \-??\ _F_-;_-@_-"/>
    <numFmt numFmtId="185" formatCode="_-* #,##0.0\ _F_-;\-* #,##0.0\ _F_-;_-* \-??\ _F_-;_-@_-"/>
    <numFmt numFmtId="186" formatCode="_-* #,##0.00_-;\-* #,##0.00_-;_-* \-??_-;_-@_-"/>
    <numFmt numFmtId="187" formatCode="_-\$* #,##0_-;&quot;-$&quot;* #,##0_-;_-\$* \-_-;_-@_-"/>
    <numFmt numFmtId="188" formatCode="_-\$* #,##0.00_-;&quot;-$&quot;* #,##0.00_-;_-\$* \-??_-;_-@_-"/>
    <numFmt numFmtId="189" formatCode="[$-409]d\-mmm;@"/>
    <numFmt numFmtId="190" formatCode="_-* #,##0.00_-;\-* #,##0.00_-;_-* &quot;-&quot;_-;_-@_-"/>
    <numFmt numFmtId="191" formatCode="[$-409]d\-mmm\-yy;@"/>
    <numFmt numFmtId="192" formatCode="_(&quot;IDR&quot;* #,##0_);_(&quot;IDR&quot;* \(#,##0\);_(&quot;IDR&quot;* &quot;-&quot;_);_(@_)"/>
    <numFmt numFmtId="193" formatCode="_(&quot;Rp&quot;* #,##0.00_);_(&quot;Rp&quot;* \(#,##0.00\);_(&quot;Rp&quot;* &quot;-&quot;_);_(@_)"/>
    <numFmt numFmtId="194" formatCode="[$-421]dd\ mmmm\ yyyy;@"/>
    <numFmt numFmtId="195" formatCode="_(* #,##0.000_);_(* \(#,##0.000\);_(* &quot;-&quot;_);_(@_)"/>
    <numFmt numFmtId="196" formatCode="_(* #,##0.0000_);_(* \(#,##0.0000\);_(* &quot;-&quot;??_);_(@_)"/>
  </numFmts>
  <fonts count="100">
    <font>
      <sz val="12"/>
      <color indexed="63"/>
      <name val="Calibri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63"/>
      <name val="Calibri"/>
      <family val="2"/>
      <scheme val="minor"/>
    </font>
    <font>
      <sz val="12"/>
      <color indexed="6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 tint="0.2499465926084170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Calibri"/>
      <scheme val="minor"/>
    </font>
    <font>
      <sz val="10"/>
      <name val="???"/>
      <family val="2"/>
    </font>
    <font>
      <sz val="12"/>
      <name val="¹UAAA¼"/>
      <family val="2"/>
    </font>
    <font>
      <b/>
      <sz val="12"/>
      <name val="Arial"/>
      <family val="2"/>
    </font>
    <font>
      <b/>
      <i/>
      <sz val="16"/>
      <name val="Helvetica"/>
      <family val="2"/>
    </font>
    <font>
      <sz val="10"/>
      <name val="Helvetica"/>
    </font>
    <font>
      <sz val="12"/>
      <name val="Arial"/>
      <family val="2"/>
    </font>
    <font>
      <sz val="10"/>
      <name val="VNI-Times"/>
      <family val="1"/>
    </font>
    <font>
      <sz val="10"/>
      <name val="VNI-Univer"/>
      <family val="1"/>
    </font>
    <font>
      <sz val="10"/>
      <name val="VNI-Helve-Condense"/>
      <family val="1"/>
    </font>
    <font>
      <sz val="12"/>
      <name val="뼻뮝"/>
      <family val="1"/>
    </font>
    <font>
      <sz val="10"/>
      <name val="굴림체"/>
      <family val="2"/>
    </font>
    <font>
      <sz val="12"/>
      <name val="新細明體"/>
      <family val="2"/>
      <charset val="136"/>
    </font>
    <font>
      <b/>
      <sz val="12"/>
      <color rgb="FFFF0000"/>
      <name val="Calibri"/>
      <scheme val="minor"/>
    </font>
    <font>
      <sz val="12"/>
      <color rgb="FF0000FF"/>
      <name val="Calibri"/>
      <scheme val="minor"/>
    </font>
    <font>
      <b/>
      <sz val="12"/>
      <color rgb="FF0000FF"/>
      <name val="Calibri"/>
      <scheme val="minor"/>
    </font>
    <font>
      <sz val="10"/>
      <name val="Tahoma"/>
      <family val="2"/>
    </font>
    <font>
      <b/>
      <sz val="10"/>
      <name val="Tahoma"/>
      <family val="2"/>
    </font>
    <font>
      <sz val="12"/>
      <color rgb="FF0000FF"/>
      <name val="Calibri"/>
      <family val="2"/>
      <scheme val="minor"/>
    </font>
    <font>
      <sz val="14"/>
      <color indexed="63"/>
      <name val="Calibri"/>
      <family val="2"/>
      <scheme val="minor"/>
    </font>
    <font>
      <b/>
      <sz val="14"/>
      <color indexed="63"/>
      <name val="Calibri"/>
      <family val="2"/>
      <scheme val="minor"/>
    </font>
    <font>
      <sz val="14"/>
      <color rgb="FF0000FF"/>
      <name val="Calibri"/>
      <family val="2"/>
      <scheme val="minor"/>
    </font>
    <font>
      <sz val="10"/>
      <color indexed="63"/>
      <name val="Calibri"/>
      <family val="2"/>
      <scheme val="minor"/>
    </font>
    <font>
      <sz val="9"/>
      <color indexed="63"/>
      <name val="Calibri"/>
      <family val="2"/>
      <scheme val="minor"/>
    </font>
    <font>
      <sz val="12"/>
      <name val="Calibri"/>
      <family val="2"/>
      <scheme val="minor"/>
    </font>
    <font>
      <sz val="12"/>
      <color indexed="63"/>
      <name val="Calibri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i/>
      <sz val="10"/>
      <color rgb="FFFF0000"/>
      <name val="Times New Roman"/>
      <family val="1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12"/>
      <color theme="1"/>
      <name val="Arial"/>
      <family val="2"/>
    </font>
    <font>
      <sz val="10"/>
      <name val="Calibri"/>
      <family val="2"/>
      <scheme val="minor"/>
    </font>
    <font>
      <b/>
      <i/>
      <sz val="18"/>
      <color indexed="63"/>
      <name val="Calibri"/>
      <family val="2"/>
      <scheme val="minor"/>
    </font>
    <font>
      <i/>
      <sz val="12"/>
      <color rgb="FFFF0000"/>
      <name val="Times New Roman"/>
      <family val="1"/>
    </font>
    <font>
      <b/>
      <sz val="16"/>
      <name val="Arial Narrow"/>
      <family val="2"/>
    </font>
    <font>
      <b/>
      <sz val="11"/>
      <name val="Calibri"/>
      <family val="2"/>
      <scheme val="minor"/>
    </font>
    <font>
      <b/>
      <sz val="11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i/>
      <u/>
      <sz val="14"/>
      <color rgb="FF0000FF"/>
      <name val="Arial"/>
      <family val="2"/>
    </font>
    <font>
      <b/>
      <i/>
      <u/>
      <sz val="14"/>
      <color rgb="FFFF0000"/>
      <name val="Arial"/>
      <family val="2"/>
    </font>
    <font>
      <b/>
      <sz val="12"/>
      <name val="Calibri"/>
      <family val="2"/>
      <scheme val="minor"/>
    </font>
    <font>
      <b/>
      <sz val="16"/>
      <color indexed="63"/>
      <name val="Calibri"/>
      <family val="2"/>
      <scheme val="minor"/>
    </font>
    <font>
      <b/>
      <u/>
      <sz val="18"/>
      <color indexed="63"/>
      <name val="Calibri"/>
      <family val="2"/>
      <scheme val="minor"/>
    </font>
    <font>
      <sz val="12"/>
      <color rgb="FFFF0000"/>
      <name val="Arial Narrow"/>
      <family val="2"/>
    </font>
    <font>
      <b/>
      <sz val="20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63"/>
      <name val="Calibri"/>
      <family val="2"/>
      <scheme val="minor"/>
    </font>
    <font>
      <sz val="11"/>
      <color theme="1"/>
      <name val="Barmeno-Regular"/>
    </font>
    <font>
      <b/>
      <sz val="26"/>
      <color theme="1"/>
      <name val="Barmeno-Regular"/>
    </font>
    <font>
      <b/>
      <u/>
      <sz val="26"/>
      <color theme="1"/>
      <name val="Barmeno-Regular"/>
    </font>
    <font>
      <b/>
      <sz val="11"/>
      <color theme="1"/>
      <name val="Barmeno-Regular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indexed="8"/>
      <name val="Times New Roman"/>
      <family val="1"/>
    </font>
    <font>
      <b/>
      <sz val="11"/>
      <name val="Times New Roman"/>
      <family val="1"/>
    </font>
    <font>
      <sz val="10"/>
      <color indexed="8"/>
      <name val="Times New Roman"/>
      <family val="1"/>
    </font>
    <font>
      <sz val="8"/>
      <name val="Arial"/>
      <family val="2"/>
    </font>
    <font>
      <sz val="14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2"/>
      <color theme="1"/>
      <name val="Barmeno-Regular"/>
    </font>
    <font>
      <b/>
      <sz val="14"/>
      <color theme="1"/>
      <name val="Barmeno-Regular"/>
      <charset val="1"/>
    </font>
    <font>
      <b/>
      <sz val="12"/>
      <color theme="1"/>
      <name val="Barmeno-Regular"/>
      <charset val="1"/>
    </font>
    <font>
      <sz val="10"/>
      <color theme="1"/>
      <name val="Barmeno-Regular"/>
    </font>
    <font>
      <sz val="12"/>
      <color rgb="FF0D0D0D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b/>
      <u/>
      <sz val="12"/>
      <color theme="1"/>
      <name val="Barmeno-Regula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4" tint="-0.24994659260841701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67">
    <border>
      <left/>
      <right/>
      <top/>
      <bottom/>
      <diagonal/>
    </border>
    <border>
      <left/>
      <right/>
      <top/>
      <bottom style="dotted">
        <color theme="4"/>
      </bottom>
      <diagonal/>
    </border>
    <border>
      <left/>
      <right/>
      <top/>
      <bottom style="dotted">
        <color theme="4" tint="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auto="1"/>
      </left>
      <right style="thin">
        <color auto="1"/>
      </right>
      <top style="double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indexed="64"/>
      </top>
      <bottom style="hair">
        <color auto="1"/>
      </bottom>
      <diagonal/>
    </border>
    <border>
      <left style="medium">
        <color auto="1"/>
      </left>
      <right/>
      <top style="double">
        <color indexed="64"/>
      </top>
      <bottom style="medium">
        <color auto="1"/>
      </bottom>
      <diagonal/>
    </border>
    <border>
      <left style="thin">
        <color indexed="64"/>
      </left>
      <right/>
      <top style="double">
        <color indexed="64"/>
      </top>
      <bottom style="medium">
        <color auto="1"/>
      </bottom>
      <diagonal/>
    </border>
    <border>
      <left/>
      <right style="thin">
        <color indexed="64"/>
      </right>
      <top style="double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</borders>
  <cellStyleXfs count="310">
    <xf numFmtId="0" fontId="0" fillId="0" borderId="0">
      <alignment vertical="center"/>
    </xf>
    <xf numFmtId="0" fontId="11" fillId="0" borderId="1" applyNumberFormat="0" applyFill="0" applyProtection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2" applyNumberFormat="0" applyFill="0" applyProtection="0">
      <alignment vertical="center"/>
    </xf>
    <xf numFmtId="166" fontId="8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65" fontId="8" fillId="0" borderId="0" applyFont="0" applyFill="0" applyBorder="0" applyAlignment="0" applyProtection="0"/>
    <xf numFmtId="0" fontId="14" fillId="0" borderId="0"/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15" fillId="0" borderId="0"/>
    <xf numFmtId="170" fontId="14" fillId="0" borderId="0" applyFill="0" applyBorder="0" applyAlignment="0" applyProtection="0"/>
    <xf numFmtId="0" fontId="14" fillId="0" borderId="0" applyFill="0" applyBorder="0" applyAlignment="0" applyProtection="0"/>
    <xf numFmtId="171" fontId="14" fillId="0" borderId="0" applyFill="0" applyBorder="0" applyAlignment="0" applyProtection="0"/>
    <xf numFmtId="0" fontId="17" fillId="0" borderId="0"/>
    <xf numFmtId="9" fontId="14" fillId="0" borderId="0" applyFill="0" applyBorder="0" applyAlignment="0" applyProtection="0"/>
    <xf numFmtId="40" fontId="14" fillId="0" borderId="0" applyFill="0" applyBorder="0" applyAlignment="0" applyProtection="0"/>
    <xf numFmtId="38" fontId="14" fillId="0" borderId="0" applyFill="0" applyBorder="0" applyAlignment="0" applyProtection="0"/>
    <xf numFmtId="172" fontId="14" fillId="0" borderId="0" applyFill="0" applyBorder="0" applyAlignment="0" applyProtection="0"/>
    <xf numFmtId="0" fontId="14" fillId="0" borderId="0" applyFill="0" applyBorder="0" applyAlignment="0" applyProtection="0"/>
    <xf numFmtId="0" fontId="14" fillId="0" borderId="0" applyFill="0" applyBorder="0" applyAlignment="0" applyProtection="0"/>
    <xf numFmtId="0" fontId="14" fillId="0" borderId="0" applyFill="0" applyBorder="0" applyAlignment="0" applyProtection="0"/>
    <xf numFmtId="0" fontId="14" fillId="0" borderId="0" applyFill="0" applyBorder="0" applyAlignment="0" applyProtection="0"/>
    <xf numFmtId="0" fontId="18" fillId="0" borderId="0"/>
    <xf numFmtId="0" fontId="18" fillId="0" borderId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3" fontId="14" fillId="0" borderId="0" applyFill="0" applyBorder="0" applyAlignment="0" applyProtection="0"/>
    <xf numFmtId="175" fontId="14" fillId="0" borderId="0" applyFill="0" applyBorder="0" applyAlignment="0" applyProtection="0"/>
    <xf numFmtId="0" fontId="14" fillId="0" borderId="0" applyFill="0" applyBorder="0" applyAlignment="0" applyProtection="0"/>
    <xf numFmtId="2" fontId="14" fillId="0" borderId="0" applyFill="0" applyBorder="0" applyAlignment="0" applyProtection="0"/>
    <xf numFmtId="0" fontId="19" fillId="0" borderId="26" applyNumberFormat="0" applyAlignment="0" applyProtection="0"/>
    <xf numFmtId="0" fontId="19" fillId="0" borderId="27">
      <alignment horizontal="left" vertical="center"/>
    </xf>
    <xf numFmtId="176" fontId="20" fillId="0" borderId="0"/>
    <xf numFmtId="0" fontId="14" fillId="0" borderId="0"/>
    <xf numFmtId="0" fontId="21" fillId="0" borderId="0"/>
    <xf numFmtId="0" fontId="22" fillId="0" borderId="0"/>
    <xf numFmtId="0" fontId="15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77" fontId="23" fillId="0" borderId="28">
      <alignment horizontal="right" vertical="center"/>
    </xf>
    <xf numFmtId="178" fontId="14" fillId="0" borderId="28">
      <alignment horizontal="right" vertical="center"/>
    </xf>
    <xf numFmtId="179" fontId="24" fillId="0" borderId="28">
      <alignment horizontal="center"/>
    </xf>
    <xf numFmtId="180" fontId="25" fillId="0" borderId="0"/>
    <xf numFmtId="181" fontId="25" fillId="0" borderId="29"/>
    <xf numFmtId="40" fontId="14" fillId="0" borderId="0" applyFill="0" applyBorder="0" applyAlignment="0" applyProtection="0"/>
    <xf numFmtId="38" fontId="14" fillId="0" borderId="0" applyFill="0" applyBorder="0" applyAlignment="0" applyProtection="0"/>
    <xf numFmtId="0" fontId="14" fillId="0" borderId="0" applyFill="0" applyBorder="0" applyAlignment="0" applyProtection="0"/>
    <xf numFmtId="0" fontId="14" fillId="0" borderId="0" applyFill="0" applyBorder="0" applyAlignment="0" applyProtection="0"/>
    <xf numFmtId="9" fontId="14" fillId="0" borderId="0" applyFill="0" applyBorder="0" applyAlignment="0" applyProtection="0"/>
    <xf numFmtId="0" fontId="26" fillId="0" borderId="0"/>
    <xf numFmtId="182" fontId="14" fillId="0" borderId="0" applyFill="0" applyBorder="0" applyAlignment="0" applyProtection="0"/>
    <xf numFmtId="183" fontId="14" fillId="0" borderId="0" applyFill="0" applyBorder="0" applyAlignment="0" applyProtection="0"/>
    <xf numFmtId="184" fontId="14" fillId="0" borderId="0" applyFill="0" applyBorder="0" applyAlignment="0" applyProtection="0"/>
    <xf numFmtId="185" fontId="14" fillId="0" borderId="0" applyFill="0" applyBorder="0" applyAlignment="0" applyProtection="0"/>
    <xf numFmtId="0" fontId="27" fillId="0" borderId="0"/>
    <xf numFmtId="0" fontId="28" fillId="0" borderId="0"/>
    <xf numFmtId="186" fontId="14" fillId="0" borderId="0" applyFill="0" applyBorder="0" applyAlignment="0" applyProtection="0"/>
    <xf numFmtId="172" fontId="14" fillId="0" borderId="0" applyFill="0" applyBorder="0" applyAlignment="0" applyProtection="0"/>
    <xf numFmtId="187" fontId="14" fillId="0" borderId="0" applyFill="0" applyBorder="0" applyAlignment="0" applyProtection="0"/>
    <xf numFmtId="188" fontId="14" fillId="0" borderId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0" fontId="1" fillId="0" borderId="0"/>
    <xf numFmtId="19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1" fillId="0" borderId="0" applyBorder="0"/>
    <xf numFmtId="0" fontId="14" fillId="0" borderId="0"/>
    <xf numFmtId="43" fontId="41" fillId="0" borderId="0" applyFont="0" applyFill="0" applyBorder="0" applyAlignment="0" applyProtection="0"/>
    <xf numFmtId="0" fontId="14" fillId="0" borderId="0"/>
  </cellStyleXfs>
  <cellXfs count="912">
    <xf numFmtId="0" fontId="0" fillId="0" borderId="0" xfId="0">
      <alignment vertical="center"/>
    </xf>
    <xf numFmtId="0" fontId="0" fillId="0" borderId="0" xfId="0" applyAlignment="1">
      <alignment wrapText="1"/>
    </xf>
    <xf numFmtId="168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6" fontId="0" fillId="0" borderId="0" xfId="13" applyFont="1" applyAlignment="1">
      <alignment vertical="center"/>
    </xf>
    <xf numFmtId="189" fontId="0" fillId="0" borderId="3" xfId="0" applyNumberFormat="1" applyBorder="1" applyAlignment="1">
      <alignment horizontal="center" vertical="center" wrapText="1"/>
    </xf>
    <xf numFmtId="189" fontId="0" fillId="0" borderId="0" xfId="0" applyNumberFormat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168" fontId="0" fillId="0" borderId="3" xfId="0" applyNumberFormat="1" applyFill="1" applyBorder="1" applyAlignment="1">
      <alignment wrapText="1"/>
    </xf>
    <xf numFmtId="189" fontId="0" fillId="0" borderId="3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wrapText="1"/>
    </xf>
    <xf numFmtId="0" fontId="1" fillId="0" borderId="5" xfId="0" applyFont="1" applyFill="1" applyBorder="1" applyAlignment="1">
      <alignment horizontal="center" wrapText="1"/>
    </xf>
    <xf numFmtId="0" fontId="7" fillId="0" borderId="0" xfId="0" applyFont="1" applyAlignment="1">
      <alignment horizontal="left" vertical="center"/>
    </xf>
    <xf numFmtId="0" fontId="0" fillId="0" borderId="18" xfId="0" applyBorder="1">
      <alignment vertical="center"/>
    </xf>
    <xf numFmtId="166" fontId="0" fillId="0" borderId="18" xfId="13" applyFont="1" applyBorder="1" applyAlignment="1">
      <alignment vertical="center"/>
    </xf>
    <xf numFmtId="0" fontId="0" fillId="0" borderId="33" xfId="0" applyBorder="1">
      <alignment vertical="center"/>
    </xf>
    <xf numFmtId="166" fontId="0" fillId="0" borderId="33" xfId="13" applyFont="1" applyBorder="1" applyAlignment="1">
      <alignment vertical="center"/>
    </xf>
    <xf numFmtId="0" fontId="0" fillId="0" borderId="13" xfId="0" applyBorder="1">
      <alignment vertical="center"/>
    </xf>
    <xf numFmtId="166" fontId="0" fillId="0" borderId="13" xfId="13" applyFont="1" applyBorder="1" applyAlignment="1">
      <alignment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166" fontId="7" fillId="4" borderId="30" xfId="13" quotePrefix="1" applyFont="1" applyFill="1" applyBorder="1" applyAlignment="1">
      <alignment horizontal="center" vertical="center"/>
    </xf>
    <xf numFmtId="166" fontId="7" fillId="3" borderId="35" xfId="13" applyFont="1" applyFill="1" applyBorder="1" applyAlignment="1">
      <alignment horizontal="center" vertical="center"/>
    </xf>
    <xf numFmtId="190" fontId="7" fillId="4" borderId="30" xfId="13" applyNumberFormat="1" applyFont="1" applyFill="1" applyBorder="1" applyAlignment="1">
      <alignment horizontal="center" vertical="center"/>
    </xf>
    <xf numFmtId="190" fontId="7" fillId="3" borderId="35" xfId="13" applyNumberFormat="1" applyFont="1" applyFill="1" applyBorder="1" applyAlignment="1">
      <alignment horizontal="center" vertical="center"/>
    </xf>
    <xf numFmtId="190" fontId="0" fillId="0" borderId="18" xfId="13" applyNumberFormat="1" applyFont="1" applyBorder="1" applyAlignment="1">
      <alignment vertical="center"/>
    </xf>
    <xf numFmtId="190" fontId="0" fillId="0" borderId="33" xfId="13" applyNumberFormat="1" applyFont="1" applyBorder="1" applyAlignment="1">
      <alignment vertical="center"/>
    </xf>
    <xf numFmtId="190" fontId="0" fillId="0" borderId="0" xfId="13" applyNumberFormat="1" applyFont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7" fillId="4" borderId="30" xfId="0" applyNumberFormat="1" applyFont="1" applyFill="1" applyBorder="1" applyAlignment="1">
      <alignment horizontal="center" vertical="center" wrapText="1"/>
    </xf>
    <xf numFmtId="1" fontId="7" fillId="3" borderId="35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89" fontId="0" fillId="0" borderId="18" xfId="0" applyNumberFormat="1" applyBorder="1" applyAlignment="1">
      <alignment horizontal="center" vertical="center"/>
    </xf>
    <xf numFmtId="0" fontId="29" fillId="3" borderId="35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90" fontId="0" fillId="0" borderId="13" xfId="13" applyNumberFormat="1" applyFont="1" applyBorder="1" applyAlignment="1">
      <alignment vertical="center"/>
    </xf>
    <xf numFmtId="189" fontId="0" fillId="0" borderId="13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0" fontId="13" fillId="0" borderId="9" xfId="0" applyFont="1" applyBorder="1" applyAlignment="1">
      <alignment horizontal="center" vertical="center"/>
    </xf>
    <xf numFmtId="190" fontId="0" fillId="0" borderId="9" xfId="13" applyNumberFormat="1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166" fontId="0" fillId="0" borderId="9" xfId="13" applyFont="1" applyBorder="1" applyAlignment="1">
      <alignment vertical="center"/>
    </xf>
    <xf numFmtId="189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16" fillId="4" borderId="30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0" fontId="13" fillId="3" borderId="9" xfId="0" applyFont="1" applyFill="1" applyBorder="1" applyAlignment="1">
      <alignment horizontal="center" vertical="center"/>
    </xf>
    <xf numFmtId="190" fontId="0" fillId="3" borderId="9" xfId="13" applyNumberFormat="1" applyFont="1" applyFill="1" applyBorder="1" applyAlignment="1">
      <alignment vertical="center"/>
    </xf>
    <xf numFmtId="0" fontId="0" fillId="3" borderId="9" xfId="0" applyFill="1" applyBorder="1" applyAlignment="1">
      <alignment horizontal="center" vertical="center"/>
    </xf>
    <xf numFmtId="189" fontId="0" fillId="3" borderId="9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66" fontId="7" fillId="3" borderId="9" xfId="13" applyFont="1" applyFill="1" applyBorder="1" applyAlignment="1">
      <alignment horizontal="right" vertical="center"/>
    </xf>
    <xf numFmtId="0" fontId="7" fillId="3" borderId="9" xfId="0" applyFont="1" applyFill="1" applyBorder="1" applyAlignment="1">
      <alignment horizontal="right" vertical="center"/>
    </xf>
    <xf numFmtId="166" fontId="7" fillId="3" borderId="9" xfId="13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190" fontId="7" fillId="3" borderId="30" xfId="13" applyNumberFormat="1" applyFont="1" applyFill="1" applyBorder="1" applyAlignment="1">
      <alignment vertical="center"/>
    </xf>
    <xf numFmtId="165" fontId="7" fillId="4" borderId="30" xfId="22" applyNumberFormat="1" applyFont="1" applyFill="1" applyBorder="1" applyAlignment="1">
      <alignment horizontal="center" vertical="center" wrapText="1"/>
    </xf>
    <xf numFmtId="165" fontId="7" fillId="3" borderId="35" xfId="22" applyNumberFormat="1" applyFont="1" applyFill="1" applyBorder="1" applyAlignment="1">
      <alignment horizontal="center" vertical="center" wrapText="1"/>
    </xf>
    <xf numFmtId="165" fontId="0" fillId="0" borderId="18" xfId="22" applyNumberFormat="1" applyFont="1" applyBorder="1" applyAlignment="1">
      <alignment vertical="center"/>
    </xf>
    <xf numFmtId="165" fontId="7" fillId="3" borderId="30" xfId="22" applyNumberFormat="1" applyFont="1" applyFill="1" applyBorder="1" applyAlignment="1">
      <alignment vertical="center"/>
    </xf>
    <xf numFmtId="165" fontId="0" fillId="3" borderId="9" xfId="22" applyNumberFormat="1" applyFont="1" applyFill="1" applyBorder="1" applyAlignment="1">
      <alignment horizontal="center" vertical="center"/>
    </xf>
    <xf numFmtId="165" fontId="0" fillId="0" borderId="13" xfId="22" applyNumberFormat="1" applyFont="1" applyBorder="1" applyAlignment="1">
      <alignment vertical="center"/>
    </xf>
    <xf numFmtId="165" fontId="7" fillId="3" borderId="9" xfId="22" applyNumberFormat="1" applyFont="1" applyFill="1" applyBorder="1" applyAlignment="1">
      <alignment horizontal="center" vertical="center"/>
    </xf>
    <xf numFmtId="165" fontId="0" fillId="0" borderId="0" xfId="22" applyNumberFormat="1" applyFont="1" applyAlignment="1">
      <alignment vertical="center"/>
    </xf>
    <xf numFmtId="165" fontId="0" fillId="0" borderId="9" xfId="22" applyNumberFormat="1" applyFont="1" applyBorder="1" applyAlignment="1">
      <alignment vertical="center"/>
    </xf>
    <xf numFmtId="165" fontId="0" fillId="0" borderId="33" xfId="22" applyNumberFormat="1" applyFont="1" applyBorder="1" applyAlignment="1">
      <alignment vertical="center"/>
    </xf>
    <xf numFmtId="167" fontId="0" fillId="0" borderId="0" xfId="0" applyNumberFormat="1">
      <alignment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0" xfId="0" applyFont="1" applyFill="1" applyBorder="1">
      <alignment vertical="center"/>
    </xf>
    <xf numFmtId="0" fontId="13" fillId="5" borderId="30" xfId="0" applyFont="1" applyFill="1" applyBorder="1" applyAlignment="1">
      <alignment horizontal="center" vertical="center"/>
    </xf>
    <xf numFmtId="190" fontId="0" fillId="5" borderId="30" xfId="13" applyNumberFormat="1" applyFont="1" applyFill="1" applyBorder="1" applyAlignment="1">
      <alignment vertical="center"/>
    </xf>
    <xf numFmtId="0" fontId="0" fillId="5" borderId="30" xfId="0" applyFill="1" applyBorder="1" applyAlignment="1">
      <alignment horizontal="center" vertical="center"/>
    </xf>
    <xf numFmtId="166" fontId="0" fillId="5" borderId="30" xfId="13" applyFont="1" applyFill="1" applyBorder="1" applyAlignment="1">
      <alignment vertical="center"/>
    </xf>
    <xf numFmtId="165" fontId="7" fillId="5" borderId="30" xfId="22" applyNumberFormat="1" applyFont="1" applyFill="1" applyBorder="1" applyAlignment="1">
      <alignment vertical="center"/>
    </xf>
    <xf numFmtId="16" fontId="7" fillId="5" borderId="30" xfId="0" applyNumberFormat="1" applyFont="1" applyFill="1" applyBorder="1" applyAlignment="1">
      <alignment horizontal="center" vertical="center"/>
    </xf>
    <xf numFmtId="189" fontId="7" fillId="5" borderId="30" xfId="0" applyNumberFormat="1" applyFont="1" applyFill="1" applyBorder="1" applyAlignment="1">
      <alignment horizontal="center" vertical="center"/>
    </xf>
    <xf numFmtId="1" fontId="7" fillId="5" borderId="30" xfId="0" applyNumberFormat="1" applyFont="1" applyFill="1" applyBorder="1" applyAlignment="1">
      <alignment horizontal="center" vertical="center"/>
    </xf>
    <xf numFmtId="166" fontId="13" fillId="0" borderId="13" xfId="13" applyFont="1" applyBorder="1" applyAlignment="1">
      <alignment vertical="center"/>
    </xf>
    <xf numFmtId="166" fontId="0" fillId="0" borderId="0" xfId="0" applyNumberFormat="1">
      <alignment vertical="center"/>
    </xf>
    <xf numFmtId="0" fontId="0" fillId="6" borderId="18" xfId="0" applyFill="1" applyBorder="1" applyAlignment="1">
      <alignment horizontal="center" vertical="center"/>
    </xf>
    <xf numFmtId="0" fontId="0" fillId="6" borderId="18" xfId="0" applyFill="1" applyBorder="1">
      <alignment vertical="center"/>
    </xf>
    <xf numFmtId="0" fontId="13" fillId="6" borderId="18" xfId="0" applyFont="1" applyFill="1" applyBorder="1" applyAlignment="1">
      <alignment horizontal="center" vertical="center"/>
    </xf>
    <xf numFmtId="190" fontId="0" fillId="6" borderId="18" xfId="13" applyNumberFormat="1" applyFont="1" applyFill="1" applyBorder="1" applyAlignment="1">
      <alignment vertical="center"/>
    </xf>
    <xf numFmtId="166" fontId="0" fillId="6" borderId="18" xfId="13" applyFont="1" applyFill="1" applyBorder="1" applyAlignment="1">
      <alignment vertical="center"/>
    </xf>
    <xf numFmtId="165" fontId="0" fillId="6" borderId="18" xfId="22" applyNumberFormat="1" applyFont="1" applyFill="1" applyBorder="1" applyAlignment="1">
      <alignment vertical="center"/>
    </xf>
    <xf numFmtId="189" fontId="0" fillId="6" borderId="18" xfId="0" applyNumberFormat="1" applyFill="1" applyBorder="1" applyAlignment="1">
      <alignment horizontal="center" vertical="center"/>
    </xf>
    <xf numFmtId="1" fontId="0" fillId="6" borderId="18" xfId="0" applyNumberFormat="1" applyFill="1" applyBorder="1" applyAlignment="1">
      <alignment horizontal="center" vertical="center"/>
    </xf>
    <xf numFmtId="166" fontId="30" fillId="0" borderId="13" xfId="13" applyFont="1" applyBorder="1" applyAlignment="1">
      <alignment vertical="center"/>
    </xf>
    <xf numFmtId="0" fontId="0" fillId="6" borderId="36" xfId="0" applyFill="1" applyBorder="1" applyAlignment="1">
      <alignment horizontal="center" vertical="center"/>
    </xf>
    <xf numFmtId="0" fontId="13" fillId="6" borderId="36" xfId="0" applyFont="1" applyFill="1" applyBorder="1" applyAlignment="1">
      <alignment horizontal="center" vertical="center"/>
    </xf>
    <xf numFmtId="190" fontId="0" fillId="6" borderId="36" xfId="13" applyNumberFormat="1" applyFont="1" applyFill="1" applyBorder="1" applyAlignment="1">
      <alignment vertical="center"/>
    </xf>
    <xf numFmtId="166" fontId="0" fillId="6" borderId="36" xfId="13" applyFont="1" applyFill="1" applyBorder="1" applyAlignment="1">
      <alignment vertical="center"/>
    </xf>
    <xf numFmtId="165" fontId="0" fillId="6" borderId="36" xfId="22" applyNumberFormat="1" applyFont="1" applyFill="1" applyBorder="1" applyAlignment="1">
      <alignment vertical="center"/>
    </xf>
    <xf numFmtId="189" fontId="0" fillId="6" borderId="36" xfId="0" applyNumberFormat="1" applyFill="1" applyBorder="1" applyAlignment="1">
      <alignment horizontal="center" vertical="center"/>
    </xf>
    <xf numFmtId="1" fontId="0" fillId="6" borderId="36" xfId="0" applyNumberFormat="1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3" xfId="0" applyFill="1" applyBorder="1">
      <alignment vertical="center"/>
    </xf>
    <xf numFmtId="0" fontId="13" fillId="6" borderId="33" xfId="0" applyFont="1" applyFill="1" applyBorder="1" applyAlignment="1">
      <alignment horizontal="center" vertical="center"/>
    </xf>
    <xf numFmtId="190" fontId="0" fillId="6" borderId="33" xfId="13" applyNumberFormat="1" applyFont="1" applyFill="1" applyBorder="1" applyAlignment="1">
      <alignment vertical="center"/>
    </xf>
    <xf numFmtId="166" fontId="0" fillId="6" borderId="33" xfId="13" applyFont="1" applyFill="1" applyBorder="1" applyAlignment="1">
      <alignment vertical="center"/>
    </xf>
    <xf numFmtId="165" fontId="0" fillId="6" borderId="33" xfId="22" applyNumberFormat="1" applyFont="1" applyFill="1" applyBorder="1" applyAlignment="1">
      <alignment vertical="center"/>
    </xf>
    <xf numFmtId="189" fontId="0" fillId="6" borderId="33" xfId="0" applyNumberFormat="1" applyFill="1" applyBorder="1" applyAlignment="1">
      <alignment horizontal="center" vertical="center"/>
    </xf>
    <xf numFmtId="1" fontId="0" fillId="6" borderId="33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ill="1" applyBorder="1">
      <alignment vertical="center"/>
    </xf>
    <xf numFmtId="0" fontId="13" fillId="0" borderId="18" xfId="0" applyFont="1" applyFill="1" applyBorder="1" applyAlignment="1">
      <alignment horizontal="center" vertical="center"/>
    </xf>
    <xf numFmtId="190" fontId="0" fillId="0" borderId="18" xfId="13" applyNumberFormat="1" applyFont="1" applyFill="1" applyBorder="1" applyAlignment="1">
      <alignment vertical="center"/>
    </xf>
    <xf numFmtId="166" fontId="0" fillId="0" borderId="18" xfId="13" applyFont="1" applyFill="1" applyBorder="1" applyAlignment="1">
      <alignment vertical="center"/>
    </xf>
    <xf numFmtId="165" fontId="0" fillId="0" borderId="18" xfId="22" applyNumberFormat="1" applyFont="1" applyFill="1" applyBorder="1" applyAlignment="1">
      <alignment vertical="center"/>
    </xf>
    <xf numFmtId="189" fontId="0" fillId="0" borderId="1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67" fontId="0" fillId="0" borderId="0" xfId="0" applyNumberFormat="1" applyFill="1">
      <alignment vertical="center"/>
    </xf>
    <xf numFmtId="0" fontId="0" fillId="0" borderId="0" xfId="0" applyFill="1">
      <alignment vertical="center"/>
    </xf>
    <xf numFmtId="166" fontId="0" fillId="0" borderId="0" xfId="0" applyNumberFormat="1" applyFill="1">
      <alignment vertical="center"/>
    </xf>
    <xf numFmtId="0" fontId="31" fillId="4" borderId="30" xfId="0" applyFont="1" applyFill="1" applyBorder="1" applyAlignment="1">
      <alignment horizontal="center" vertical="center" wrapText="1"/>
    </xf>
    <xf numFmtId="0" fontId="31" fillId="3" borderId="35" xfId="0" applyFont="1" applyFill="1" applyBorder="1" applyAlignment="1">
      <alignment horizontal="center" vertical="center" wrapText="1"/>
    </xf>
    <xf numFmtId="0" fontId="31" fillId="5" borderId="30" xfId="0" applyFont="1" applyFill="1" applyBorder="1">
      <alignment vertical="center"/>
    </xf>
    <xf numFmtId="0" fontId="30" fillId="0" borderId="13" xfId="0" applyFont="1" applyBorder="1">
      <alignment vertical="center"/>
    </xf>
    <xf numFmtId="0" fontId="30" fillId="6" borderId="18" xfId="0" applyFont="1" applyFill="1" applyBorder="1">
      <alignment vertical="center"/>
    </xf>
    <xf numFmtId="0" fontId="30" fillId="0" borderId="18" xfId="0" applyFont="1" applyBorder="1">
      <alignment vertical="center"/>
    </xf>
    <xf numFmtId="0" fontId="30" fillId="3" borderId="32" xfId="0" applyFont="1" applyFill="1" applyBorder="1">
      <alignment vertical="center"/>
    </xf>
    <xf numFmtId="0" fontId="30" fillId="0" borderId="9" xfId="0" applyFont="1" applyBorder="1">
      <alignment vertical="center"/>
    </xf>
    <xf numFmtId="0" fontId="30" fillId="0" borderId="33" xfId="0" applyFont="1" applyBorder="1">
      <alignment vertical="center"/>
    </xf>
    <xf numFmtId="0" fontId="30" fillId="6" borderId="33" xfId="0" applyFont="1" applyFill="1" applyBorder="1">
      <alignment vertical="center"/>
    </xf>
    <xf numFmtId="0" fontId="30" fillId="0" borderId="18" xfId="0" applyFont="1" applyFill="1" applyBorder="1">
      <alignment vertical="center"/>
    </xf>
    <xf numFmtId="0" fontId="30" fillId="0" borderId="0" xfId="0" applyFont="1">
      <alignment vertical="center"/>
    </xf>
    <xf numFmtId="165" fontId="7" fillId="4" borderId="34" xfId="22" applyNumberFormat="1" applyFont="1" applyFill="1" applyBorder="1" applyAlignment="1">
      <alignment horizontal="center" vertical="center" wrapText="1"/>
    </xf>
    <xf numFmtId="166" fontId="8" fillId="0" borderId="30" xfId="13" applyFont="1" applyBorder="1" applyAlignment="1">
      <alignment vertical="center"/>
    </xf>
    <xf numFmtId="165" fontId="8" fillId="0" borderId="30" xfId="22" applyNumberFormat="1" applyFont="1" applyBorder="1" applyAlignment="1">
      <alignment vertical="center"/>
    </xf>
    <xf numFmtId="0" fontId="7" fillId="3" borderId="30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190" fontId="7" fillId="3" borderId="30" xfId="13" applyNumberFormat="1" applyFont="1" applyFill="1" applyBorder="1" applyAlignment="1">
      <alignment horizontal="center" vertical="center"/>
    </xf>
    <xf numFmtId="166" fontId="7" fillId="3" borderId="30" xfId="13" applyFont="1" applyFill="1" applyBorder="1" applyAlignment="1">
      <alignment horizontal="center" vertical="center"/>
    </xf>
    <xf numFmtId="165" fontId="7" fillId="3" borderId="30" xfId="22" applyNumberFormat="1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1" fontId="7" fillId="3" borderId="30" xfId="0" applyNumberFormat="1" applyFont="1" applyFill="1" applyBorder="1" applyAlignment="1">
      <alignment horizontal="center" vertical="center" wrapText="1"/>
    </xf>
    <xf numFmtId="0" fontId="31" fillId="3" borderId="30" xfId="0" applyFont="1" applyFill="1" applyBorder="1" applyAlignment="1">
      <alignment horizontal="center" vertical="center" wrapText="1"/>
    </xf>
    <xf numFmtId="16" fontId="8" fillId="0" borderId="30" xfId="22" applyNumberFormat="1" applyFont="1" applyBorder="1" applyAlignment="1">
      <alignment vertical="center"/>
    </xf>
    <xf numFmtId="189" fontId="8" fillId="0" borderId="30" xfId="22" applyNumberFormat="1" applyFont="1" applyBorder="1" applyAlignment="1">
      <alignment vertical="center"/>
    </xf>
    <xf numFmtId="189" fontId="0" fillId="6" borderId="13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13" fillId="0" borderId="9" xfId="0" applyFont="1" applyFill="1" applyBorder="1" applyAlignment="1">
      <alignment horizontal="center" vertical="center"/>
    </xf>
    <xf numFmtId="190" fontId="0" fillId="0" borderId="9" xfId="13" applyNumberFormat="1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7" fillId="0" borderId="9" xfId="0" applyFont="1" applyFill="1" applyBorder="1" applyAlignment="1">
      <alignment horizontal="left" vertical="center"/>
    </xf>
    <xf numFmtId="165" fontId="0" fillId="0" borderId="9" xfId="22" applyNumberFormat="1" applyFont="1" applyFill="1" applyBorder="1" applyAlignment="1">
      <alignment horizontal="center" vertical="center"/>
    </xf>
    <xf numFmtId="165" fontId="7" fillId="0" borderId="57" xfId="22" applyNumberFormat="1" applyFont="1" applyFill="1" applyBorder="1" applyAlignment="1">
      <alignment vertical="center"/>
    </xf>
    <xf numFmtId="189" fontId="0" fillId="0" borderId="9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0" fontId="30" fillId="0" borderId="32" xfId="0" applyFont="1" applyFill="1" applyBorder="1">
      <alignment vertical="center"/>
    </xf>
    <xf numFmtId="0" fontId="8" fillId="0" borderId="13" xfId="0" applyFont="1" applyBorder="1">
      <alignment vertical="center"/>
    </xf>
    <xf numFmtId="0" fontId="8" fillId="0" borderId="18" xfId="0" applyFont="1" applyBorder="1">
      <alignment vertical="center"/>
    </xf>
    <xf numFmtId="0" fontId="34" fillId="0" borderId="13" xfId="0" applyFont="1" applyBorder="1">
      <alignment vertical="center"/>
    </xf>
    <xf numFmtId="43" fontId="0" fillId="0" borderId="0" xfId="0" applyNumberFormat="1">
      <alignment vertical="center"/>
    </xf>
    <xf numFmtId="0" fontId="8" fillId="6" borderId="18" xfId="0" applyFont="1" applyFill="1" applyBorder="1">
      <alignment vertical="center"/>
    </xf>
    <xf numFmtId="189" fontId="8" fillId="3" borderId="9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190" fontId="0" fillId="5" borderId="0" xfId="0" applyNumberFormat="1" applyFill="1">
      <alignment vertical="center"/>
    </xf>
    <xf numFmtId="43" fontId="13" fillId="0" borderId="0" xfId="0" applyNumberFormat="1" applyFont="1">
      <alignment vertical="center"/>
    </xf>
    <xf numFmtId="0" fontId="8" fillId="0" borderId="18" xfId="0" applyFont="1" applyFill="1" applyBorder="1">
      <alignment vertical="center"/>
    </xf>
    <xf numFmtId="0" fontId="8" fillId="6" borderId="36" xfId="0" applyFont="1" applyFill="1" applyBorder="1">
      <alignment vertical="center"/>
    </xf>
    <xf numFmtId="0" fontId="8" fillId="0" borderId="0" xfId="0" applyFont="1" applyAlignment="1">
      <alignment horizontal="left" vertical="center"/>
    </xf>
    <xf numFmtId="0" fontId="8" fillId="6" borderId="33" xfId="0" applyFont="1" applyFill="1" applyBorder="1">
      <alignment vertical="center"/>
    </xf>
    <xf numFmtId="165" fontId="8" fillId="7" borderId="30" xfId="22" applyNumberFormat="1" applyFont="1" applyFill="1" applyBorder="1" applyAlignment="1">
      <alignment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Fill="1" applyBorder="1">
      <alignment vertical="center"/>
    </xf>
    <xf numFmtId="0" fontId="13" fillId="8" borderId="18" xfId="0" applyFont="1" applyFill="1" applyBorder="1" applyAlignment="1">
      <alignment horizontal="center" vertical="center"/>
    </xf>
    <xf numFmtId="190" fontId="0" fillId="8" borderId="18" xfId="13" applyNumberFormat="1" applyFont="1" applyFill="1" applyBorder="1" applyAlignment="1">
      <alignment vertical="center"/>
    </xf>
    <xf numFmtId="166" fontId="0" fillId="8" borderId="18" xfId="13" applyFont="1" applyFill="1" applyBorder="1" applyAlignment="1">
      <alignment vertical="center"/>
    </xf>
    <xf numFmtId="165" fontId="0" fillId="8" borderId="18" xfId="22" applyNumberFormat="1" applyFont="1" applyFill="1" applyBorder="1" applyAlignment="1">
      <alignment vertical="center"/>
    </xf>
    <xf numFmtId="189" fontId="0" fillId="8" borderId="18" xfId="0" applyNumberFormat="1" applyFill="1" applyBorder="1" applyAlignment="1">
      <alignment horizontal="center" vertical="center"/>
    </xf>
    <xf numFmtId="1" fontId="0" fillId="8" borderId="18" xfId="0" applyNumberFormat="1" applyFill="1" applyBorder="1" applyAlignment="1">
      <alignment horizontal="center" vertical="center"/>
    </xf>
    <xf numFmtId="0" fontId="30" fillId="8" borderId="18" xfId="0" applyFont="1" applyFill="1" applyBorder="1">
      <alignment vertical="center"/>
    </xf>
    <xf numFmtId="0" fontId="0" fillId="8" borderId="0" xfId="0" applyFill="1">
      <alignment vertical="center"/>
    </xf>
    <xf numFmtId="0" fontId="35" fillId="0" borderId="0" xfId="0" applyFont="1" applyAlignment="1">
      <alignment horizontal="center" vertical="center"/>
    </xf>
    <xf numFmtId="0" fontId="35" fillId="0" borderId="0" xfId="0" applyFont="1">
      <alignment vertical="center"/>
    </xf>
    <xf numFmtId="165" fontId="36" fillId="3" borderId="30" xfId="22" applyNumberFormat="1" applyFont="1" applyFill="1" applyBorder="1" applyAlignment="1">
      <alignment vertical="center"/>
    </xf>
    <xf numFmtId="0" fontId="37" fillId="0" borderId="0" xfId="0" applyFont="1">
      <alignment vertical="center"/>
    </xf>
    <xf numFmtId="165" fontId="0" fillId="0" borderId="0" xfId="0" applyNumberFormat="1">
      <alignment vertical="center"/>
    </xf>
    <xf numFmtId="43" fontId="13" fillId="3" borderId="9" xfId="0" applyNumberFormat="1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190" fontId="13" fillId="0" borderId="18" xfId="13" applyNumberFormat="1" applyFont="1" applyFill="1" applyBorder="1" applyAlignment="1">
      <alignment vertical="center"/>
    </xf>
    <xf numFmtId="167" fontId="13" fillId="0" borderId="0" xfId="0" applyNumberFormat="1" applyFont="1" applyFill="1">
      <alignment vertical="center"/>
    </xf>
    <xf numFmtId="0" fontId="13" fillId="0" borderId="0" xfId="0" applyFont="1" applyFill="1">
      <alignment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13" xfId="0" applyFont="1" applyFill="1" applyBorder="1">
      <alignment vertical="center"/>
    </xf>
    <xf numFmtId="0" fontId="40" fillId="0" borderId="13" xfId="0" applyFont="1" applyFill="1" applyBorder="1" applyAlignment="1">
      <alignment horizontal="center" vertical="center"/>
    </xf>
    <xf numFmtId="165" fontId="13" fillId="0" borderId="13" xfId="22" applyNumberFormat="1" applyFont="1" applyFill="1" applyBorder="1" applyAlignment="1">
      <alignment vertical="center"/>
    </xf>
    <xf numFmtId="189" fontId="13" fillId="0" borderId="13" xfId="0" applyNumberFormat="1" applyFont="1" applyFill="1" applyBorder="1" applyAlignment="1">
      <alignment horizontal="center" vertical="center"/>
    </xf>
    <xf numFmtId="1" fontId="13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Border="1">
      <alignment vertical="center"/>
    </xf>
    <xf numFmtId="0" fontId="0" fillId="0" borderId="14" xfId="0" applyBorder="1">
      <alignment vertical="center"/>
    </xf>
    <xf numFmtId="0" fontId="0" fillId="6" borderId="0" xfId="0" applyFill="1">
      <alignment vertical="center"/>
    </xf>
    <xf numFmtId="0" fontId="42" fillId="0" borderId="0" xfId="303" applyFont="1"/>
    <xf numFmtId="0" fontId="42" fillId="0" borderId="0" xfId="303" applyFont="1" applyAlignment="1">
      <alignment horizontal="center"/>
    </xf>
    <xf numFmtId="0" fontId="47" fillId="0" borderId="0" xfId="303" applyFont="1" applyAlignment="1">
      <alignment horizontal="center" vertical="center"/>
    </xf>
    <xf numFmtId="191" fontId="47" fillId="0" borderId="0" xfId="303" applyNumberFormat="1" applyFont="1" applyAlignment="1">
      <alignment horizontal="center" vertical="center"/>
    </xf>
    <xf numFmtId="0" fontId="48" fillId="0" borderId="0" xfId="303" applyFont="1" applyAlignment="1">
      <alignment horizontal="center" vertical="center"/>
    </xf>
    <xf numFmtId="0" fontId="47" fillId="0" borderId="0" xfId="303" applyFont="1" applyAlignment="1">
      <alignment horizontal="left" vertical="center" wrapText="1"/>
    </xf>
    <xf numFmtId="42" fontId="47" fillId="0" borderId="0" xfId="304" applyNumberFormat="1" applyFont="1" applyAlignment="1">
      <alignment vertical="center"/>
    </xf>
    <xf numFmtId="0" fontId="47" fillId="0" borderId="0" xfId="303" applyFont="1" applyAlignment="1">
      <alignment horizontal="center" vertical="center" wrapText="1"/>
    </xf>
    <xf numFmtId="0" fontId="1" fillId="0" borderId="0" xfId="303" applyFont="1"/>
    <xf numFmtId="0" fontId="12" fillId="0" borderId="0" xfId="303" applyFont="1"/>
    <xf numFmtId="43" fontId="47" fillId="0" borderId="0" xfId="303" applyNumberFormat="1" applyFont="1" applyAlignment="1">
      <alignment horizontal="center" vertical="center"/>
    </xf>
    <xf numFmtId="0" fontId="10" fillId="0" borderId="0" xfId="303" applyFont="1" applyAlignment="1">
      <alignment horizontal="center" vertical="center"/>
    </xf>
    <xf numFmtId="0" fontId="51" fillId="9" borderId="69" xfId="303" applyFont="1" applyFill="1" applyBorder="1" applyAlignment="1">
      <alignment horizontal="center" vertical="center"/>
    </xf>
    <xf numFmtId="0" fontId="51" fillId="9" borderId="3" xfId="303" applyFont="1" applyFill="1" applyBorder="1" applyAlignment="1">
      <alignment horizontal="left" vertical="center" wrapText="1"/>
    </xf>
    <xf numFmtId="41" fontId="51" fillId="9" borderId="3" xfId="305" applyFont="1" applyFill="1" applyBorder="1" applyAlignment="1">
      <alignment horizontal="left" vertical="center"/>
    </xf>
    <xf numFmtId="41" fontId="51" fillId="9" borderId="70" xfId="305" applyFont="1" applyFill="1" applyBorder="1" applyAlignment="1">
      <alignment horizontal="center" vertical="center" wrapText="1"/>
    </xf>
    <xf numFmtId="192" fontId="52" fillId="0" borderId="0" xfId="303" applyNumberFormat="1" applyFont="1"/>
    <xf numFmtId="0" fontId="52" fillId="0" borderId="0" xfId="303" applyFont="1"/>
    <xf numFmtId="0" fontId="46" fillId="0" borderId="18" xfId="303" applyFont="1" applyBorder="1" applyAlignment="1">
      <alignment horizontal="center" vertical="center"/>
    </xf>
    <xf numFmtId="0" fontId="13" fillId="6" borderId="18" xfId="303" applyFont="1" applyFill="1" applyBorder="1" applyAlignment="1">
      <alignment horizontal="center" vertical="center"/>
    </xf>
    <xf numFmtId="0" fontId="47" fillId="0" borderId="18" xfId="303" applyFont="1" applyBorder="1" applyAlignment="1">
      <alignment horizontal="left" vertical="center" wrapText="1"/>
    </xf>
    <xf numFmtId="41" fontId="47" fillId="0" borderId="18" xfId="305" applyFont="1" applyBorder="1" applyAlignment="1">
      <alignment vertical="center"/>
    </xf>
    <xf numFmtId="41" fontId="47" fillId="0" borderId="71" xfId="305" applyFont="1" applyBorder="1" applyAlignment="1">
      <alignment horizontal="center" vertical="center" wrapText="1"/>
    </xf>
    <xf numFmtId="192" fontId="52" fillId="0" borderId="72" xfId="303" applyNumberFormat="1" applyFont="1" applyBorder="1"/>
    <xf numFmtId="41" fontId="47" fillId="0" borderId="20" xfId="305" applyFont="1" applyBorder="1" applyAlignment="1">
      <alignment horizontal="center" vertical="center" wrapText="1"/>
    </xf>
    <xf numFmtId="16" fontId="52" fillId="0" borderId="0" xfId="303" applyNumberFormat="1" applyFont="1"/>
    <xf numFmtId="42" fontId="47" fillId="0" borderId="18" xfId="304" applyNumberFormat="1" applyFont="1" applyBorder="1" applyAlignment="1">
      <alignment vertical="center"/>
    </xf>
    <xf numFmtId="0" fontId="47" fillId="0" borderId="20" xfId="303" applyFont="1" applyBorder="1" applyAlignment="1">
      <alignment horizontal="center" vertical="center" wrapText="1"/>
    </xf>
    <xf numFmtId="41" fontId="52" fillId="0" borderId="0" xfId="305" applyFont="1"/>
    <xf numFmtId="0" fontId="48" fillId="0" borderId="18" xfId="303" applyFont="1" applyBorder="1" applyAlignment="1">
      <alignment horizontal="left" vertical="center" wrapText="1"/>
    </xf>
    <xf numFmtId="191" fontId="47" fillId="0" borderId="18" xfId="303" applyNumberFormat="1" applyFont="1" applyBorder="1" applyAlignment="1">
      <alignment horizontal="center" vertical="center"/>
    </xf>
    <xf numFmtId="42" fontId="52" fillId="0" borderId="0" xfId="303" applyNumberFormat="1" applyFont="1"/>
    <xf numFmtId="0" fontId="47" fillId="0" borderId="18" xfId="303" applyFont="1" applyBorder="1" applyAlignment="1">
      <alignment horizontal="center" vertical="center"/>
    </xf>
    <xf numFmtId="0" fontId="47" fillId="0" borderId="15" xfId="303" applyFont="1" applyBorder="1" applyAlignment="1">
      <alignment horizontal="center" vertical="center"/>
    </xf>
    <xf numFmtId="0" fontId="46" fillId="0" borderId="18" xfId="303" applyFont="1" applyBorder="1" applyAlignment="1">
      <alignment horizontal="left" vertical="center" wrapText="1"/>
    </xf>
    <xf numFmtId="0" fontId="48" fillId="0" borderId="18" xfId="303" applyFont="1" applyBorder="1" applyAlignment="1">
      <alignment horizontal="center" vertical="center"/>
    </xf>
    <xf numFmtId="42" fontId="47" fillId="0" borderId="36" xfId="304" applyNumberFormat="1" applyFont="1" applyBorder="1" applyAlignment="1">
      <alignment vertical="center"/>
    </xf>
    <xf numFmtId="191" fontId="47" fillId="0" borderId="0" xfId="303" applyNumberFormat="1" applyFont="1" applyBorder="1" applyAlignment="1">
      <alignment horizontal="center" vertical="center"/>
    </xf>
    <xf numFmtId="0" fontId="46" fillId="0" borderId="0" xfId="303" applyFont="1" applyBorder="1" applyAlignment="1">
      <alignment horizontal="center" vertical="center"/>
    </xf>
    <xf numFmtId="0" fontId="13" fillId="6" borderId="0" xfId="303" applyFont="1" applyFill="1" applyBorder="1" applyAlignment="1">
      <alignment horizontal="center" vertical="center"/>
    </xf>
    <xf numFmtId="0" fontId="47" fillId="0" borderId="10" xfId="303" applyFont="1" applyBorder="1" applyAlignment="1">
      <alignment horizontal="center" vertical="center"/>
    </xf>
    <xf numFmtId="191" fontId="46" fillId="0" borderId="18" xfId="303" applyNumberFormat="1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34" fillId="0" borderId="18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47" fillId="0" borderId="43" xfId="303" applyFont="1" applyBorder="1" applyAlignment="1">
      <alignment horizontal="center" vertical="center"/>
    </xf>
    <xf numFmtId="191" fontId="47" fillId="0" borderId="36" xfId="303" applyNumberFormat="1" applyFont="1" applyBorder="1" applyAlignment="1">
      <alignment horizontal="center" vertical="center"/>
    </xf>
    <xf numFmtId="0" fontId="47" fillId="0" borderId="36" xfId="303" applyFont="1" applyBorder="1" applyAlignment="1">
      <alignment horizontal="center" vertical="center"/>
    </xf>
    <xf numFmtId="0" fontId="48" fillId="0" borderId="36" xfId="303" applyFont="1" applyBorder="1" applyAlignment="1">
      <alignment horizontal="center" vertical="center"/>
    </xf>
    <xf numFmtId="0" fontId="47" fillId="0" borderId="36" xfId="303" applyFont="1" applyBorder="1" applyAlignment="1">
      <alignment horizontal="left" vertical="center" wrapText="1"/>
    </xf>
    <xf numFmtId="0" fontId="53" fillId="0" borderId="46" xfId="303" applyFont="1" applyBorder="1" applyAlignment="1">
      <alignment horizontal="center" vertical="center" wrapText="1"/>
    </xf>
    <xf numFmtId="191" fontId="46" fillId="0" borderId="13" xfId="303" applyNumberFormat="1" applyFont="1" applyBorder="1" applyAlignment="1">
      <alignment horizontal="center" vertical="center"/>
    </xf>
    <xf numFmtId="0" fontId="51" fillId="10" borderId="74" xfId="303" applyFont="1" applyFill="1" applyBorder="1" applyAlignment="1">
      <alignment horizontal="center" vertical="center"/>
    </xf>
    <xf numFmtId="191" fontId="49" fillId="10" borderId="9" xfId="303" applyNumberFormat="1" applyFont="1" applyFill="1" applyBorder="1" applyAlignment="1">
      <alignment horizontal="center" vertical="center"/>
    </xf>
    <xf numFmtId="191" fontId="50" fillId="10" borderId="9" xfId="303" applyNumberFormat="1" applyFont="1" applyFill="1" applyBorder="1" applyAlignment="1">
      <alignment horizontal="center" vertical="center"/>
    </xf>
    <xf numFmtId="0" fontId="51" fillId="10" borderId="75" xfId="303" applyFont="1" applyFill="1" applyBorder="1" applyAlignment="1">
      <alignment horizontal="left" vertical="center" wrapText="1"/>
    </xf>
    <xf numFmtId="41" fontId="51" fillId="10" borderId="75" xfId="305" applyFont="1" applyFill="1" applyBorder="1" applyAlignment="1">
      <alignment horizontal="left" vertical="center"/>
    </xf>
    <xf numFmtId="41" fontId="51" fillId="10" borderId="76" xfId="305" applyFont="1" applyFill="1" applyBorder="1" applyAlignment="1">
      <alignment horizontal="center" vertical="center" wrapText="1"/>
    </xf>
    <xf numFmtId="192" fontId="52" fillId="10" borderId="9" xfId="303" applyNumberFormat="1" applyFont="1" applyFill="1" applyBorder="1"/>
    <xf numFmtId="0" fontId="52" fillId="10" borderId="9" xfId="303" applyFont="1" applyFill="1" applyBorder="1"/>
    <xf numFmtId="0" fontId="52" fillId="10" borderId="0" xfId="303" applyFont="1" applyFill="1" applyBorder="1"/>
    <xf numFmtId="0" fontId="46" fillId="13" borderId="74" xfId="303" applyFont="1" applyFill="1" applyBorder="1" applyAlignment="1">
      <alignment horizontal="center" vertical="center"/>
    </xf>
    <xf numFmtId="191" fontId="50" fillId="13" borderId="9" xfId="303" applyNumberFormat="1" applyFont="1" applyFill="1" applyBorder="1" applyAlignment="1">
      <alignment horizontal="center" vertical="center"/>
    </xf>
    <xf numFmtId="0" fontId="46" fillId="13" borderId="75" xfId="303" applyFont="1" applyFill="1" applyBorder="1" applyAlignment="1">
      <alignment horizontal="left" vertical="center" wrapText="1"/>
    </xf>
    <xf numFmtId="41" fontId="46" fillId="13" borderId="75" xfId="305" applyFont="1" applyFill="1" applyBorder="1" applyAlignment="1">
      <alignment horizontal="left" vertical="center"/>
    </xf>
    <xf numFmtId="41" fontId="46" fillId="13" borderId="76" xfId="305" applyFont="1" applyFill="1" applyBorder="1" applyAlignment="1">
      <alignment horizontal="center" vertical="center" wrapText="1"/>
    </xf>
    <xf numFmtId="192" fontId="55" fillId="13" borderId="9" xfId="303" applyNumberFormat="1" applyFont="1" applyFill="1" applyBorder="1"/>
    <xf numFmtId="0" fontId="55" fillId="13" borderId="9" xfId="303" applyFont="1" applyFill="1" applyBorder="1"/>
    <xf numFmtId="41" fontId="51" fillId="9" borderId="75" xfId="305" applyFont="1" applyFill="1" applyBorder="1" applyAlignment="1">
      <alignment horizontal="left" vertical="center"/>
    </xf>
    <xf numFmtId="166" fontId="52" fillId="0" borderId="0" xfId="13" applyFont="1"/>
    <xf numFmtId="190" fontId="0" fillId="0" borderId="0" xfId="0" applyNumberFormat="1">
      <alignment vertical="center"/>
    </xf>
    <xf numFmtId="0" fontId="34" fillId="6" borderId="18" xfId="0" applyFont="1" applyFill="1" applyBorder="1">
      <alignment vertical="center"/>
    </xf>
    <xf numFmtId="190" fontId="52" fillId="0" borderId="0" xfId="13" applyNumberFormat="1" applyFont="1"/>
    <xf numFmtId="166" fontId="0" fillId="6" borderId="0" xfId="13" applyFont="1" applyFill="1" applyAlignment="1">
      <alignment vertical="center"/>
    </xf>
    <xf numFmtId="0" fontId="40" fillId="6" borderId="18" xfId="0" applyFont="1" applyFill="1" applyBorder="1" applyAlignment="1">
      <alignment horizontal="center" vertical="center"/>
    </xf>
    <xf numFmtId="0" fontId="40" fillId="6" borderId="18" xfId="0" applyFont="1" applyFill="1" applyBorder="1">
      <alignment vertical="center"/>
    </xf>
    <xf numFmtId="190" fontId="40" fillId="6" borderId="18" xfId="13" applyNumberFormat="1" applyFont="1" applyFill="1" applyBorder="1" applyAlignment="1">
      <alignment vertical="center"/>
    </xf>
    <xf numFmtId="166" fontId="40" fillId="6" borderId="18" xfId="13" applyFont="1" applyFill="1" applyBorder="1" applyAlignment="1">
      <alignment vertical="center"/>
    </xf>
    <xf numFmtId="165" fontId="40" fillId="6" borderId="18" xfId="22" applyNumberFormat="1" applyFont="1" applyFill="1" applyBorder="1" applyAlignment="1">
      <alignment vertical="center"/>
    </xf>
    <xf numFmtId="1" fontId="40" fillId="6" borderId="18" xfId="0" applyNumberFormat="1" applyFont="1" applyFill="1" applyBorder="1" applyAlignment="1">
      <alignment horizontal="center" vertical="center"/>
    </xf>
    <xf numFmtId="0" fontId="40" fillId="0" borderId="18" xfId="0" applyFont="1" applyFill="1" applyBorder="1">
      <alignment vertical="center"/>
    </xf>
    <xf numFmtId="190" fontId="40" fillId="0" borderId="18" xfId="13" applyNumberFormat="1" applyFont="1" applyFill="1" applyBorder="1" applyAlignment="1">
      <alignment vertical="center"/>
    </xf>
    <xf numFmtId="166" fontId="40" fillId="0" borderId="18" xfId="13" applyFont="1" applyFill="1" applyBorder="1" applyAlignment="1">
      <alignment vertical="center"/>
    </xf>
    <xf numFmtId="165" fontId="40" fillId="0" borderId="18" xfId="22" applyNumberFormat="1" applyFont="1" applyFill="1" applyBorder="1" applyAlignment="1">
      <alignment vertical="center"/>
    </xf>
    <xf numFmtId="189" fontId="40" fillId="0" borderId="18" xfId="0" applyNumberFormat="1" applyFont="1" applyFill="1" applyBorder="1" applyAlignment="1">
      <alignment horizontal="center" vertical="center"/>
    </xf>
    <xf numFmtId="1" fontId="40" fillId="0" borderId="18" xfId="0" applyNumberFormat="1" applyFont="1" applyFill="1" applyBorder="1" applyAlignment="1">
      <alignment horizontal="center" vertical="center"/>
    </xf>
    <xf numFmtId="167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40" fillId="0" borderId="13" xfId="0" applyFont="1" applyFill="1" applyBorder="1">
      <alignment vertical="center"/>
    </xf>
    <xf numFmtId="190" fontId="40" fillId="0" borderId="13" xfId="13" applyNumberFormat="1" applyFont="1" applyFill="1" applyBorder="1" applyAlignment="1">
      <alignment vertical="center"/>
    </xf>
    <xf numFmtId="166" fontId="40" fillId="0" borderId="13" xfId="13" applyFont="1" applyFill="1" applyBorder="1" applyAlignment="1">
      <alignment vertical="center"/>
    </xf>
    <xf numFmtId="165" fontId="40" fillId="0" borderId="13" xfId="22" applyNumberFormat="1" applyFont="1" applyFill="1" applyBorder="1" applyAlignment="1">
      <alignment vertical="center"/>
    </xf>
    <xf numFmtId="189" fontId="40" fillId="0" borderId="13" xfId="0" applyNumberFormat="1" applyFont="1" applyFill="1" applyBorder="1" applyAlignment="1">
      <alignment horizontal="center" vertical="center"/>
    </xf>
    <xf numFmtId="1" fontId="40" fillId="0" borderId="13" xfId="0" applyNumberFormat="1" applyFont="1" applyFill="1" applyBorder="1" applyAlignment="1">
      <alignment horizontal="center" vertical="center"/>
    </xf>
    <xf numFmtId="43" fontId="40" fillId="0" borderId="0" xfId="0" applyNumberFormat="1" applyFont="1" applyFill="1">
      <alignment vertical="center"/>
    </xf>
    <xf numFmtId="189" fontId="40" fillId="6" borderId="13" xfId="0" applyNumberFormat="1" applyFont="1" applyFill="1" applyBorder="1" applyAlignment="1">
      <alignment horizontal="center" vertical="center"/>
    </xf>
    <xf numFmtId="167" fontId="40" fillId="6" borderId="0" xfId="0" applyNumberFormat="1" applyFont="1" applyFill="1">
      <alignment vertical="center"/>
    </xf>
    <xf numFmtId="0" fontId="40" fillId="6" borderId="0" xfId="0" applyFont="1" applyFill="1">
      <alignment vertical="center"/>
    </xf>
    <xf numFmtId="166" fontId="40" fillId="6" borderId="0" xfId="0" applyNumberFormat="1" applyFont="1" applyFill="1">
      <alignment vertical="center"/>
    </xf>
    <xf numFmtId="166" fontId="7" fillId="0" borderId="9" xfId="13" applyFont="1" applyFill="1" applyBorder="1" applyAlignment="1">
      <alignment horizontal="left" vertical="center"/>
    </xf>
    <xf numFmtId="165" fontId="7" fillId="0" borderId="75" xfId="22" applyNumberFormat="1" applyFont="1" applyFill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6" fontId="8" fillId="0" borderId="3" xfId="13" applyFont="1" applyFill="1" applyBorder="1" applyAlignment="1">
      <alignment vertical="center"/>
    </xf>
    <xf numFmtId="0" fontId="8" fillId="6" borderId="3" xfId="0" applyFont="1" applyFill="1" applyBorder="1" applyAlignment="1">
      <alignment horizontal="center" vertical="center"/>
    </xf>
    <xf numFmtId="166" fontId="8" fillId="6" borderId="18" xfId="13" applyFont="1" applyFill="1" applyBorder="1" applyAlignment="1">
      <alignment vertical="center"/>
    </xf>
    <xf numFmtId="165" fontId="0" fillId="6" borderId="13" xfId="22" applyNumberFormat="1" applyFont="1" applyFill="1" applyBorder="1" applyAlignment="1">
      <alignment vertical="center"/>
    </xf>
    <xf numFmtId="0" fontId="0" fillId="14" borderId="31" xfId="0" applyFill="1" applyBorder="1" applyAlignment="1">
      <alignment horizontal="center" vertical="center"/>
    </xf>
    <xf numFmtId="166" fontId="8" fillId="14" borderId="9" xfId="13" applyFont="1" applyFill="1" applyBorder="1" applyAlignment="1">
      <alignment vertical="center"/>
    </xf>
    <xf numFmtId="165" fontId="0" fillId="14" borderId="75" xfId="0" applyNumberFormat="1" applyFill="1" applyBorder="1">
      <alignment vertical="center"/>
    </xf>
    <xf numFmtId="0" fontId="47" fillId="0" borderId="77" xfId="303" applyFont="1" applyBorder="1" applyAlignment="1">
      <alignment horizontal="center" vertical="center"/>
    </xf>
    <xf numFmtId="0" fontId="47" fillId="0" borderId="3" xfId="303" applyFont="1" applyBorder="1" applyAlignment="1">
      <alignment horizontal="left" vertical="center" wrapText="1"/>
    </xf>
    <xf numFmtId="42" fontId="47" fillId="0" borderId="3" xfId="304" applyNumberFormat="1" applyFont="1" applyBorder="1" applyAlignment="1">
      <alignment vertical="center"/>
    </xf>
    <xf numFmtId="0" fontId="47" fillId="0" borderId="40" xfId="303" applyFont="1" applyBorder="1" applyAlignment="1">
      <alignment horizontal="center" vertical="center" wrapText="1"/>
    </xf>
    <xf numFmtId="0" fontId="43" fillId="0" borderId="80" xfId="303" applyFont="1" applyBorder="1" applyAlignment="1">
      <alignment horizontal="center" vertical="center"/>
    </xf>
    <xf numFmtId="191" fontId="44" fillId="0" borderId="81" xfId="303" applyNumberFormat="1" applyFont="1" applyBorder="1" applyAlignment="1">
      <alignment horizontal="center" vertical="center"/>
    </xf>
    <xf numFmtId="0" fontId="43" fillId="0" borderId="81" xfId="303" applyFont="1" applyBorder="1" applyAlignment="1">
      <alignment horizontal="left" vertical="center" wrapText="1"/>
    </xf>
    <xf numFmtId="42" fontId="45" fillId="0" borderId="81" xfId="304" applyNumberFormat="1" applyFont="1" applyBorder="1" applyAlignment="1">
      <alignment vertical="center"/>
    </xf>
    <xf numFmtId="0" fontId="43" fillId="0" borderId="82" xfId="303" applyFont="1" applyBorder="1" applyAlignment="1">
      <alignment horizontal="center" vertical="center"/>
    </xf>
    <xf numFmtId="0" fontId="42" fillId="0" borderId="15" xfId="303" applyFont="1" applyBorder="1" applyAlignment="1">
      <alignment horizontal="center" vertical="center"/>
    </xf>
    <xf numFmtId="191" fontId="19" fillId="0" borderId="18" xfId="303" applyNumberFormat="1" applyFont="1" applyBorder="1" applyAlignment="1">
      <alignment horizontal="left" vertical="center"/>
    </xf>
    <xf numFmtId="191" fontId="19" fillId="0" borderId="18" xfId="303" applyNumberFormat="1" applyFont="1" applyBorder="1" applyAlignment="1">
      <alignment horizontal="right" vertical="center"/>
    </xf>
    <xf numFmtId="42" fontId="42" fillId="0" borderId="18" xfId="304" applyNumberFormat="1" applyFont="1" applyBorder="1" applyAlignment="1">
      <alignment vertical="center"/>
    </xf>
    <xf numFmtId="0" fontId="42" fillId="0" borderId="20" xfId="303" applyFont="1" applyBorder="1" applyAlignment="1">
      <alignment horizontal="center" vertical="center"/>
    </xf>
    <xf numFmtId="0" fontId="42" fillId="6" borderId="15" xfId="303" applyFont="1" applyFill="1" applyBorder="1" applyAlignment="1">
      <alignment horizontal="center" vertical="center"/>
    </xf>
    <xf numFmtId="191" fontId="19" fillId="6" borderId="18" xfId="303" applyNumberFormat="1" applyFont="1" applyFill="1" applyBorder="1" applyAlignment="1">
      <alignment horizontal="left" vertical="center"/>
    </xf>
    <xf numFmtId="191" fontId="19" fillId="6" borderId="18" xfId="303" applyNumberFormat="1" applyFont="1" applyFill="1" applyBorder="1" applyAlignment="1">
      <alignment horizontal="right" vertical="center"/>
    </xf>
    <xf numFmtId="42" fontId="42" fillId="6" borderId="18" xfId="304" applyNumberFormat="1" applyFont="1" applyFill="1" applyBorder="1" applyAlignment="1">
      <alignment vertical="center"/>
    </xf>
    <xf numFmtId="0" fontId="42" fillId="6" borderId="20" xfId="303" applyFont="1" applyFill="1" applyBorder="1" applyAlignment="1">
      <alignment horizontal="center" vertical="center"/>
    </xf>
    <xf numFmtId="0" fontId="42" fillId="6" borderId="78" xfId="303" applyFont="1" applyFill="1" applyBorder="1" applyAlignment="1">
      <alignment horizontal="center" vertical="center"/>
    </xf>
    <xf numFmtId="191" fontId="19" fillId="6" borderId="62" xfId="303" applyNumberFormat="1" applyFont="1" applyFill="1" applyBorder="1" applyAlignment="1">
      <alignment horizontal="left" vertical="center"/>
    </xf>
    <xf numFmtId="191" fontId="19" fillId="6" borderId="79" xfId="303" applyNumberFormat="1" applyFont="1" applyFill="1" applyBorder="1" applyAlignment="1">
      <alignment horizontal="right" vertical="center"/>
    </xf>
    <xf numFmtId="42" fontId="57" fillId="6" borderId="63" xfId="304" applyNumberFormat="1" applyFont="1" applyFill="1" applyBorder="1" applyAlignment="1">
      <alignment vertical="center"/>
    </xf>
    <xf numFmtId="0" fontId="42" fillId="6" borderId="64" xfId="303" applyFont="1" applyFill="1" applyBorder="1" applyAlignment="1">
      <alignment horizontal="center" vertical="center"/>
    </xf>
    <xf numFmtId="0" fontId="42" fillId="14" borderId="83" xfId="303" applyFont="1" applyFill="1" applyBorder="1" applyAlignment="1">
      <alignment horizontal="center" vertical="center"/>
    </xf>
    <xf numFmtId="42" fontId="42" fillId="14" borderId="84" xfId="304" applyNumberFormat="1" applyFont="1" applyFill="1" applyBorder="1" applyAlignment="1">
      <alignment vertical="center"/>
    </xf>
    <xf numFmtId="0" fontId="42" fillId="14" borderId="86" xfId="303" applyFont="1" applyFill="1" applyBorder="1" applyAlignment="1">
      <alignment horizontal="center" vertical="center"/>
    </xf>
    <xf numFmtId="0" fontId="42" fillId="11" borderId="58" xfId="303" applyFont="1" applyFill="1" applyBorder="1" applyAlignment="1">
      <alignment horizontal="center" vertical="center"/>
    </xf>
    <xf numFmtId="165" fontId="7" fillId="11" borderId="75" xfId="22" applyNumberFormat="1" applyFont="1" applyFill="1" applyBorder="1" applyAlignment="1">
      <alignment horizontal="center" vertical="center" wrapText="1"/>
    </xf>
    <xf numFmtId="0" fontId="42" fillId="11" borderId="61" xfId="303" applyFont="1" applyFill="1" applyBorder="1" applyAlignment="1">
      <alignment horizontal="center" vertical="center"/>
    </xf>
    <xf numFmtId="10" fontId="0" fillId="0" borderId="0" xfId="302" applyNumberFormat="1" applyFont="1" applyAlignment="1">
      <alignment vertical="center"/>
    </xf>
    <xf numFmtId="10" fontId="42" fillId="0" borderId="0" xfId="302" applyNumberFormat="1" applyFont="1"/>
    <xf numFmtId="10" fontId="42" fillId="0" borderId="0" xfId="303" applyNumberFormat="1" applyFont="1"/>
    <xf numFmtId="0" fontId="59" fillId="0" borderId="0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60" fillId="0" borderId="0" xfId="0" applyFont="1" applyAlignment="1">
      <alignment horizontal="left" vertical="center"/>
    </xf>
    <xf numFmtId="0" fontId="60" fillId="0" borderId="0" xfId="306" applyFont="1" applyFill="1" applyBorder="1" applyAlignment="1">
      <alignment horizontal="left" vertical="center" indent="1"/>
    </xf>
    <xf numFmtId="0" fontId="61" fillId="0" borderId="0" xfId="306" applyFont="1" applyFill="1" applyBorder="1" applyAlignment="1">
      <alignment horizontal="center" vertical="center"/>
    </xf>
    <xf numFmtId="169" fontId="61" fillId="0" borderId="0" xfId="13" applyNumberFormat="1" applyFont="1" applyFill="1" applyBorder="1" applyAlignment="1" applyProtection="1">
      <alignment horizontal="center" vertical="center"/>
      <protection locked="0"/>
    </xf>
    <xf numFmtId="191" fontId="62" fillId="0" borderId="0" xfId="306" applyNumberFormat="1" applyFont="1" applyFill="1" applyBorder="1" applyAlignment="1" applyProtection="1">
      <alignment horizontal="right" vertical="center"/>
      <protection locked="0"/>
    </xf>
    <xf numFmtId="0" fontId="61" fillId="12" borderId="87" xfId="306" applyFont="1" applyFill="1" applyBorder="1" applyAlignment="1">
      <alignment horizontal="centerContinuous" vertical="center"/>
    </xf>
    <xf numFmtId="169" fontId="61" fillId="12" borderId="89" xfId="13" applyNumberFormat="1" applyFont="1" applyFill="1" applyBorder="1" applyAlignment="1" applyProtection="1">
      <alignment horizontal="center" vertical="center"/>
      <protection locked="0"/>
    </xf>
    <xf numFmtId="191" fontId="61" fillId="12" borderId="89" xfId="306" applyNumberFormat="1" applyFont="1" applyFill="1" applyBorder="1" applyAlignment="1" applyProtection="1">
      <alignment horizontal="center" vertical="center"/>
      <protection locked="0"/>
    </xf>
    <xf numFmtId="191" fontId="61" fillId="12" borderId="90" xfId="306" applyNumberFormat="1" applyFont="1" applyFill="1" applyBorder="1" applyAlignment="1" applyProtection="1">
      <alignment horizontal="center" vertical="center"/>
      <protection locked="0"/>
    </xf>
    <xf numFmtId="0" fontId="63" fillId="0" borderId="73" xfId="306" applyFont="1" applyFill="1" applyBorder="1" applyAlignment="1">
      <alignment horizontal="center" vertical="center"/>
    </xf>
    <xf numFmtId="0" fontId="63" fillId="0" borderId="31" xfId="306" applyFont="1" applyFill="1" applyBorder="1" applyAlignment="1">
      <alignment horizontal="left" vertical="center" indent="1"/>
    </xf>
    <xf numFmtId="0" fontId="63" fillId="0" borderId="9" xfId="306" applyFont="1" applyFill="1" applyBorder="1" applyAlignment="1">
      <alignment horizontal="center" vertical="center"/>
    </xf>
    <xf numFmtId="169" fontId="63" fillId="0" borderId="9" xfId="13" applyNumberFormat="1" applyFont="1" applyFill="1" applyBorder="1" applyAlignment="1" applyProtection="1">
      <alignment horizontal="center" vertical="center"/>
      <protection locked="0"/>
    </xf>
    <xf numFmtId="3" fontId="63" fillId="0" borderId="75" xfId="13" applyNumberFormat="1" applyFont="1" applyFill="1" applyBorder="1" applyAlignment="1" applyProtection="1">
      <alignment horizontal="center" vertical="center"/>
      <protection locked="0"/>
    </xf>
    <xf numFmtId="169" fontId="63" fillId="0" borderId="75" xfId="13" applyNumberFormat="1" applyFont="1" applyFill="1" applyBorder="1" applyAlignment="1" applyProtection="1">
      <alignment horizontal="center" vertical="center"/>
      <protection locked="0"/>
    </xf>
    <xf numFmtId="15" fontId="63" fillId="0" borderId="75" xfId="306" applyNumberFormat="1" applyFont="1" applyFill="1" applyBorder="1" applyAlignment="1" applyProtection="1">
      <alignment horizontal="center" vertical="center"/>
      <protection locked="0"/>
    </xf>
    <xf numFmtId="15" fontId="63" fillId="0" borderId="76" xfId="306" applyNumberFormat="1" applyFont="1" applyFill="1" applyBorder="1" applyAlignment="1" applyProtection="1">
      <alignment horizontal="center" vertical="center"/>
      <protection locked="0"/>
    </xf>
    <xf numFmtId="15" fontId="0" fillId="0" borderId="0" xfId="0" applyNumberFormat="1">
      <alignment vertical="center"/>
    </xf>
    <xf numFmtId="0" fontId="61" fillId="0" borderId="91" xfId="306" applyFont="1" applyFill="1" applyBorder="1" applyAlignment="1">
      <alignment horizontal="center" vertical="center"/>
    </xf>
    <xf numFmtId="0" fontId="61" fillId="0" borderId="92" xfId="306" applyFont="1" applyFill="1" applyBorder="1" applyAlignment="1">
      <alignment horizontal="left" vertical="center" indent="1"/>
    </xf>
    <xf numFmtId="0" fontId="61" fillId="0" borderId="93" xfId="306" applyFont="1" applyFill="1" applyBorder="1" applyAlignment="1">
      <alignment horizontal="center" vertical="center"/>
    </xf>
    <xf numFmtId="169" fontId="61" fillId="0" borderId="93" xfId="13" applyNumberFormat="1" applyFont="1" applyFill="1" applyBorder="1" applyAlignment="1" applyProtection="1">
      <alignment horizontal="center" vertical="center"/>
      <protection locked="0"/>
    </xf>
    <xf numFmtId="3" fontId="61" fillId="0" borderId="94" xfId="13" applyNumberFormat="1" applyFont="1" applyFill="1" applyBorder="1" applyAlignment="1" applyProtection="1">
      <alignment horizontal="center" vertical="center"/>
      <protection locked="0"/>
    </xf>
    <xf numFmtId="169" fontId="61" fillId="0" borderId="94" xfId="13" applyNumberFormat="1" applyFont="1" applyFill="1" applyBorder="1" applyAlignment="1" applyProtection="1">
      <alignment horizontal="center" vertical="center"/>
      <protection locked="0"/>
    </xf>
    <xf numFmtId="15" fontId="61" fillId="0" borderId="94" xfId="306" applyNumberFormat="1" applyFont="1" applyFill="1" applyBorder="1" applyAlignment="1" applyProtection="1">
      <alignment horizontal="right" vertical="center"/>
      <protection locked="0"/>
    </xf>
    <xf numFmtId="15" fontId="61" fillId="0" borderId="95" xfId="306" applyNumberFormat="1" applyFont="1" applyFill="1" applyBorder="1" applyAlignment="1" applyProtection="1">
      <alignment horizontal="right" vertical="center"/>
      <protection locked="0"/>
    </xf>
    <xf numFmtId="0" fontId="61" fillId="0" borderId="73" xfId="306" applyFont="1" applyFill="1" applyBorder="1" applyAlignment="1">
      <alignment horizontal="center" vertical="center"/>
    </xf>
    <xf numFmtId="0" fontId="61" fillId="0" borderId="31" xfId="306" applyFont="1" applyFill="1" applyBorder="1" applyAlignment="1">
      <alignment horizontal="left" vertical="center" indent="1"/>
    </xf>
    <xf numFmtId="0" fontId="61" fillId="0" borderId="9" xfId="306" applyFont="1" applyFill="1" applyBorder="1" applyAlignment="1">
      <alignment horizontal="center" vertical="center"/>
    </xf>
    <xf numFmtId="169" fontId="61" fillId="0" borderId="9" xfId="13" applyNumberFormat="1" applyFont="1" applyFill="1" applyBorder="1" applyAlignment="1" applyProtection="1">
      <alignment horizontal="center" vertical="center"/>
      <protection locked="0"/>
    </xf>
    <xf numFmtId="3" fontId="61" fillId="0" borderId="75" xfId="13" applyNumberFormat="1" applyFont="1" applyFill="1" applyBorder="1" applyAlignment="1" applyProtection="1">
      <alignment horizontal="center" vertical="center"/>
      <protection locked="0"/>
    </xf>
    <xf numFmtId="169" fontId="61" fillId="0" borderId="75" xfId="13" applyNumberFormat="1" applyFont="1" applyFill="1" applyBorder="1" applyAlignment="1" applyProtection="1">
      <alignment horizontal="center" vertical="center"/>
      <protection locked="0"/>
    </xf>
    <xf numFmtId="15" fontId="61" fillId="0" borderId="75" xfId="306" applyNumberFormat="1" applyFont="1" applyFill="1" applyBorder="1" applyAlignment="1" applyProtection="1">
      <alignment horizontal="center" vertical="center"/>
      <protection locked="0"/>
    </xf>
    <xf numFmtId="15" fontId="61" fillId="0" borderId="76" xfId="306" applyNumberFormat="1" applyFon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190" fontId="0" fillId="0" borderId="13" xfId="13" applyNumberFormat="1" applyFont="1" applyFill="1" applyBorder="1" applyAlignment="1">
      <alignment vertical="center"/>
    </xf>
    <xf numFmtId="166" fontId="0" fillId="0" borderId="13" xfId="13" applyFont="1" applyFill="1" applyBorder="1" applyAlignment="1">
      <alignment vertical="center"/>
    </xf>
    <xf numFmtId="165" fontId="0" fillId="0" borderId="13" xfId="22" applyNumberFormat="1" applyFont="1" applyFill="1" applyBorder="1" applyAlignment="1">
      <alignment vertical="center"/>
    </xf>
    <xf numFmtId="189" fontId="0" fillId="0" borderId="13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0" fontId="30" fillId="0" borderId="13" xfId="0" applyFont="1" applyFill="1" applyBorder="1">
      <alignment vertical="center"/>
    </xf>
    <xf numFmtId="0" fontId="40" fillId="0" borderId="36" xfId="0" applyFont="1" applyFill="1" applyBorder="1">
      <alignment vertical="center"/>
    </xf>
    <xf numFmtId="0" fontId="13" fillId="0" borderId="36" xfId="0" applyFont="1" applyFill="1" applyBorder="1" applyAlignment="1">
      <alignment horizontal="center" vertical="center"/>
    </xf>
    <xf numFmtId="166" fontId="40" fillId="0" borderId="36" xfId="13" applyFont="1" applyFill="1" applyBorder="1" applyAlignment="1">
      <alignment vertical="center"/>
    </xf>
    <xf numFmtId="165" fontId="40" fillId="0" borderId="36" xfId="22" applyNumberFormat="1" applyFont="1" applyFill="1" applyBorder="1" applyAlignment="1">
      <alignment vertical="center"/>
    </xf>
    <xf numFmtId="189" fontId="40" fillId="0" borderId="36" xfId="0" applyNumberFormat="1" applyFont="1" applyFill="1" applyBorder="1" applyAlignment="1">
      <alignment horizontal="center" vertical="center"/>
    </xf>
    <xf numFmtId="1" fontId="40" fillId="0" borderId="36" xfId="0" applyNumberFormat="1" applyFont="1" applyFill="1" applyBorder="1" applyAlignment="1">
      <alignment horizontal="center" vertical="center"/>
    </xf>
    <xf numFmtId="190" fontId="0" fillId="0" borderId="36" xfId="13" applyNumberFormat="1" applyFont="1" applyFill="1" applyBorder="1" applyAlignment="1">
      <alignment vertical="center"/>
    </xf>
    <xf numFmtId="0" fontId="0" fillId="0" borderId="36" xfId="0" applyFill="1" applyBorder="1" applyAlignment="1">
      <alignment horizontal="center" vertical="center"/>
    </xf>
    <xf numFmtId="0" fontId="8" fillId="8" borderId="18" xfId="0" applyFont="1" applyFill="1" applyBorder="1">
      <alignment vertical="center"/>
    </xf>
    <xf numFmtId="0" fontId="40" fillId="8" borderId="18" xfId="0" applyFont="1" applyFill="1" applyBorder="1" applyAlignment="1">
      <alignment horizontal="center" vertical="center"/>
    </xf>
    <xf numFmtId="0" fontId="40" fillId="8" borderId="18" xfId="0" applyFont="1" applyFill="1" applyBorder="1">
      <alignment vertical="center"/>
    </xf>
    <xf numFmtId="190" fontId="13" fillId="8" borderId="18" xfId="13" applyNumberFormat="1" applyFont="1" applyFill="1" applyBorder="1" applyAlignment="1">
      <alignment vertical="center"/>
    </xf>
    <xf numFmtId="166" fontId="40" fillId="8" borderId="18" xfId="13" applyFont="1" applyFill="1" applyBorder="1" applyAlignment="1">
      <alignment vertical="center"/>
    </xf>
    <xf numFmtId="165" fontId="40" fillId="8" borderId="18" xfId="22" applyNumberFormat="1" applyFont="1" applyFill="1" applyBorder="1" applyAlignment="1">
      <alignment vertical="center"/>
    </xf>
    <xf numFmtId="189" fontId="40" fillId="8" borderId="18" xfId="0" applyNumberFormat="1" applyFont="1" applyFill="1" applyBorder="1" applyAlignment="1">
      <alignment horizontal="center" vertical="center"/>
    </xf>
    <xf numFmtId="1" fontId="40" fillId="8" borderId="18" xfId="0" applyNumberFormat="1" applyFont="1" applyFill="1" applyBorder="1" applyAlignment="1">
      <alignment horizontal="center" vertical="center"/>
    </xf>
    <xf numFmtId="0" fontId="13" fillId="8" borderId="0" xfId="0" applyFont="1" applyFill="1">
      <alignment vertical="center"/>
    </xf>
    <xf numFmtId="0" fontId="40" fillId="8" borderId="36" xfId="0" applyFont="1" applyFill="1" applyBorder="1">
      <alignment vertical="center"/>
    </xf>
    <xf numFmtId="0" fontId="13" fillId="8" borderId="36" xfId="0" applyFont="1" applyFill="1" applyBorder="1" applyAlignment="1">
      <alignment horizontal="center" vertical="center"/>
    </xf>
    <xf numFmtId="190" fontId="13" fillId="8" borderId="36" xfId="13" applyNumberFormat="1" applyFont="1" applyFill="1" applyBorder="1" applyAlignment="1">
      <alignment vertical="center"/>
    </xf>
    <xf numFmtId="166" fontId="40" fillId="8" borderId="36" xfId="13" applyFont="1" applyFill="1" applyBorder="1" applyAlignment="1">
      <alignment vertical="center"/>
    </xf>
    <xf numFmtId="165" fontId="40" fillId="8" borderId="36" xfId="22" applyNumberFormat="1" applyFont="1" applyFill="1" applyBorder="1" applyAlignment="1">
      <alignment vertical="center"/>
    </xf>
    <xf numFmtId="189" fontId="40" fillId="8" borderId="36" xfId="0" applyNumberFormat="1" applyFont="1" applyFill="1" applyBorder="1" applyAlignment="1">
      <alignment horizontal="center" vertical="center"/>
    </xf>
    <xf numFmtId="1" fontId="40" fillId="8" borderId="36" xfId="0" applyNumberFormat="1" applyFont="1" applyFill="1" applyBorder="1" applyAlignment="1">
      <alignment horizontal="center" vertical="center"/>
    </xf>
    <xf numFmtId="1" fontId="66" fillId="5" borderId="30" xfId="0" applyNumberFormat="1" applyFont="1" applyFill="1" applyBorder="1" applyAlignment="1">
      <alignment horizontal="center" vertical="center"/>
    </xf>
    <xf numFmtId="0" fontId="40" fillId="0" borderId="0" xfId="0" applyFont="1">
      <alignment vertical="center"/>
    </xf>
    <xf numFmtId="169" fontId="61" fillId="12" borderId="88" xfId="13" applyNumberFormat="1" applyFont="1" applyFill="1" applyBorder="1" applyAlignment="1" applyProtection="1">
      <alignment horizontal="center" vertical="center"/>
      <protection locked="0"/>
    </xf>
    <xf numFmtId="3" fontId="61" fillId="0" borderId="32" xfId="13" applyNumberFormat="1" applyFont="1" applyFill="1" applyBorder="1" applyAlignment="1" applyProtection="1">
      <alignment horizontal="center" vertical="center"/>
      <protection locked="0"/>
    </xf>
    <xf numFmtId="3" fontId="61" fillId="0" borderId="96" xfId="13" applyNumberFormat="1" applyFont="1" applyFill="1" applyBorder="1" applyAlignment="1" applyProtection="1">
      <alignment horizontal="center" vertical="center"/>
      <protection locked="0"/>
    </xf>
    <xf numFmtId="0" fontId="69" fillId="0" borderId="9" xfId="306" applyFont="1" applyFill="1" applyBorder="1" applyAlignment="1">
      <alignment horizontal="center" vertical="center"/>
    </xf>
    <xf numFmtId="0" fontId="70" fillId="0" borderId="0" xfId="307" applyFont="1"/>
    <xf numFmtId="0" fontId="32" fillId="0" borderId="0" xfId="307" applyFont="1"/>
    <xf numFmtId="4" fontId="32" fillId="0" borderId="0" xfId="307" applyNumberFormat="1" applyFont="1"/>
    <xf numFmtId="0" fontId="71" fillId="0" borderId="0" xfId="307" applyFont="1"/>
    <xf numFmtId="0" fontId="71" fillId="0" borderId="0" xfId="307" applyFont="1" applyAlignment="1">
      <alignment horizontal="center"/>
    </xf>
    <xf numFmtId="0" fontId="33" fillId="0" borderId="0" xfId="307" applyFont="1"/>
    <xf numFmtId="0" fontId="33" fillId="0" borderId="0" xfId="307" applyFont="1" applyAlignment="1">
      <alignment horizontal="center"/>
    </xf>
    <xf numFmtId="0" fontId="33" fillId="0" borderId="65" xfId="307" applyFont="1" applyBorder="1"/>
    <xf numFmtId="0" fontId="33" fillId="0" borderId="50" xfId="307" applyFont="1" applyBorder="1"/>
    <xf numFmtId="0" fontId="33" fillId="0" borderId="47" xfId="307" applyFont="1" applyBorder="1"/>
    <xf numFmtId="0" fontId="33" fillId="0" borderId="48" xfId="307" applyFont="1" applyBorder="1"/>
    <xf numFmtId="4" fontId="33" fillId="0" borderId="48" xfId="307" applyNumberFormat="1" applyFont="1" applyBorder="1"/>
    <xf numFmtId="4" fontId="33" fillId="0" borderId="48" xfId="307" applyNumberFormat="1" applyFont="1" applyBorder="1" applyAlignment="1">
      <alignment horizontal="center"/>
    </xf>
    <xf numFmtId="4" fontId="33" fillId="0" borderId="49" xfId="307" applyNumberFormat="1" applyFont="1" applyBorder="1" applyAlignment="1">
      <alignment horizontal="center"/>
    </xf>
    <xf numFmtId="0" fontId="33" fillId="0" borderId="77" xfId="307" applyFont="1" applyBorder="1" applyAlignment="1">
      <alignment horizontal="center"/>
    </xf>
    <xf numFmtId="0" fontId="33" fillId="0" borderId="0" xfId="307" applyFont="1" applyBorder="1"/>
    <xf numFmtId="0" fontId="33" fillId="0" borderId="0" xfId="307" applyFont="1" applyBorder="1" applyAlignment="1">
      <alignment horizontal="centerContinuous"/>
    </xf>
    <xf numFmtId="0" fontId="33" fillId="0" borderId="7" xfId="307" applyFont="1" applyBorder="1" applyAlignment="1">
      <alignment horizontal="centerContinuous"/>
    </xf>
    <xf numFmtId="0" fontId="33" fillId="0" borderId="3" xfId="307" applyFont="1" applyBorder="1" applyAlignment="1">
      <alignment horizontal="center"/>
    </xf>
    <xf numFmtId="4" fontId="33" fillId="0" borderId="3" xfId="307" applyNumberFormat="1" applyFont="1" applyBorder="1" applyAlignment="1">
      <alignment horizontal="center"/>
    </xf>
    <xf numFmtId="4" fontId="33" fillId="0" borderId="8" xfId="307" applyNumberFormat="1" applyFont="1" applyBorder="1" applyAlignment="1">
      <alignment horizontal="center"/>
    </xf>
    <xf numFmtId="0" fontId="33" fillId="0" borderId="67" xfId="307" applyFont="1" applyBorder="1"/>
    <xf numFmtId="0" fontId="33" fillId="0" borderId="97" xfId="307" applyFont="1" applyBorder="1"/>
    <xf numFmtId="0" fontId="33" fillId="0" borderId="98" xfId="307" applyFont="1" applyBorder="1"/>
    <xf numFmtId="0" fontId="33" fillId="0" borderId="68" xfId="307" applyFont="1" applyBorder="1"/>
    <xf numFmtId="4" fontId="33" fillId="0" borderId="68" xfId="307" applyNumberFormat="1" applyFont="1" applyBorder="1"/>
    <xf numFmtId="4" fontId="33" fillId="0" borderId="99" xfId="307" applyNumberFormat="1" applyFont="1" applyBorder="1"/>
    <xf numFmtId="0" fontId="32" fillId="0" borderId="80" xfId="307" applyFont="1" applyBorder="1"/>
    <xf numFmtId="0" fontId="32" fillId="0" borderId="100" xfId="307" applyFont="1" applyBorder="1"/>
    <xf numFmtId="0" fontId="32" fillId="0" borderId="101" xfId="307" applyFont="1" applyBorder="1"/>
    <xf numFmtId="0" fontId="32" fillId="0" borderId="81" xfId="307" applyFont="1" applyBorder="1"/>
    <xf numFmtId="4" fontId="32" fillId="0" borderId="81" xfId="307" applyNumberFormat="1" applyFont="1" applyBorder="1"/>
    <xf numFmtId="4" fontId="32" fillId="0" borderId="102" xfId="307" applyNumberFormat="1" applyFont="1" applyBorder="1"/>
    <xf numFmtId="0" fontId="33" fillId="0" borderId="0" xfId="307" applyFont="1" applyAlignment="1">
      <alignment vertical="center"/>
    </xf>
    <xf numFmtId="0" fontId="32" fillId="0" borderId="0" xfId="307" applyFont="1" applyAlignment="1">
      <alignment vertical="center"/>
    </xf>
    <xf numFmtId="4" fontId="33" fillId="0" borderId="0" xfId="307" applyNumberFormat="1" applyFont="1" applyAlignment="1">
      <alignment vertical="center"/>
    </xf>
    <xf numFmtId="0" fontId="33" fillId="0" borderId="0" xfId="307" applyFont="1" applyAlignment="1">
      <alignment horizontal="center" vertical="center"/>
    </xf>
    <xf numFmtId="0" fontId="72" fillId="0" borderId="15" xfId="307" applyFont="1" applyBorder="1" applyAlignment="1">
      <alignment horizontal="center" vertical="center"/>
    </xf>
    <xf numFmtId="0" fontId="72" fillId="0" borderId="19" xfId="307" applyFont="1" applyBorder="1" applyAlignment="1">
      <alignment vertical="center"/>
    </xf>
    <xf numFmtId="0" fontId="72" fillId="0" borderId="17" xfId="307" applyFont="1" applyBorder="1" applyAlignment="1">
      <alignment vertical="center"/>
    </xf>
    <xf numFmtId="0" fontId="72" fillId="0" borderId="36" xfId="307" applyFont="1" applyBorder="1" applyAlignment="1">
      <alignment horizontal="center" vertical="center"/>
    </xf>
    <xf numFmtId="4" fontId="72" fillId="0" borderId="18" xfId="307" applyNumberFormat="1" applyFont="1" applyBorder="1" applyAlignment="1">
      <alignment vertical="center"/>
    </xf>
    <xf numFmtId="4" fontId="72" fillId="0" borderId="52" xfId="307" applyNumberFormat="1" applyFont="1" applyBorder="1" applyAlignment="1">
      <alignment vertical="center"/>
    </xf>
    <xf numFmtId="4" fontId="32" fillId="0" borderId="0" xfId="307" applyNumberFormat="1" applyFont="1" applyAlignment="1">
      <alignment vertical="center"/>
    </xf>
    <xf numFmtId="0" fontId="72" fillId="0" borderId="44" xfId="307" applyFont="1" applyBorder="1" applyAlignment="1">
      <alignment vertical="center"/>
    </xf>
    <xf numFmtId="4" fontId="72" fillId="0" borderId="36" xfId="307" applyNumberFormat="1" applyFont="1" applyBorder="1" applyAlignment="1">
      <alignment vertical="center"/>
    </xf>
    <xf numFmtId="0" fontId="72" fillId="0" borderId="45" xfId="307" applyFont="1" applyBorder="1" applyAlignment="1">
      <alignment vertical="center"/>
    </xf>
    <xf numFmtId="0" fontId="72" fillId="0" borderId="44" xfId="307" quotePrefix="1" applyFont="1" applyBorder="1" applyAlignment="1">
      <alignment vertical="center"/>
    </xf>
    <xf numFmtId="0" fontId="72" fillId="0" borderId="43" xfId="307" applyFont="1" applyBorder="1" applyAlignment="1">
      <alignment horizontal="center" vertical="center"/>
    </xf>
    <xf numFmtId="4" fontId="72" fillId="0" borderId="103" xfId="307" applyNumberFormat="1" applyFont="1" applyBorder="1" applyAlignment="1">
      <alignment vertical="center"/>
    </xf>
    <xf numFmtId="41" fontId="32" fillId="0" borderId="0" xfId="13" applyNumberFormat="1" applyFont="1"/>
    <xf numFmtId="0" fontId="72" fillId="0" borderId="43" xfId="307" applyFont="1" applyBorder="1" applyAlignment="1">
      <alignment vertical="center"/>
    </xf>
    <xf numFmtId="0" fontId="72" fillId="0" borderId="104" xfId="307" applyFont="1" applyBorder="1" applyAlignment="1">
      <alignment vertical="center"/>
    </xf>
    <xf numFmtId="0" fontId="72" fillId="0" borderId="105" xfId="307" applyFont="1" applyBorder="1" applyAlignment="1">
      <alignment vertical="center"/>
    </xf>
    <xf numFmtId="0" fontId="72" fillId="0" borderId="106" xfId="307" applyFont="1" applyBorder="1" applyAlignment="1">
      <alignment vertical="center"/>
    </xf>
    <xf numFmtId="0" fontId="72" fillId="0" borderId="107" xfId="307" applyFont="1" applyBorder="1" applyAlignment="1">
      <alignment vertical="center"/>
    </xf>
    <xf numFmtId="4" fontId="72" fillId="0" borderId="107" xfId="307" applyNumberFormat="1" applyFont="1" applyBorder="1" applyAlignment="1">
      <alignment vertical="center"/>
    </xf>
    <xf numFmtId="4" fontId="72" fillId="0" borderId="108" xfId="307" applyNumberFormat="1" applyFont="1" applyBorder="1" applyAlignment="1">
      <alignment vertical="center"/>
    </xf>
    <xf numFmtId="0" fontId="72" fillId="0" borderId="109" xfId="307" applyFont="1" applyBorder="1"/>
    <xf numFmtId="0" fontId="72" fillId="0" borderId="110" xfId="307" applyFont="1" applyBorder="1"/>
    <xf numFmtId="0" fontId="72" fillId="0" borderId="111" xfId="307" applyFont="1" applyBorder="1"/>
    <xf numFmtId="0" fontId="72" fillId="0" borderId="112" xfId="307" applyFont="1" applyBorder="1"/>
    <xf numFmtId="4" fontId="72" fillId="0" borderId="112" xfId="307" applyNumberFormat="1" applyFont="1" applyBorder="1"/>
    <xf numFmtId="4" fontId="72" fillId="0" borderId="113" xfId="307" applyNumberFormat="1" applyFont="1" applyBorder="1"/>
    <xf numFmtId="0" fontId="72" fillId="0" borderId="77" xfId="307" applyFont="1" applyBorder="1"/>
    <xf numFmtId="0" fontId="72" fillId="0" borderId="0" xfId="307" applyFont="1" applyBorder="1"/>
    <xf numFmtId="0" fontId="71" fillId="0" borderId="0" xfId="307" applyFont="1" applyBorder="1" applyAlignment="1">
      <alignment vertical="center"/>
    </xf>
    <xf numFmtId="0" fontId="72" fillId="0" borderId="0" xfId="307" applyFont="1" applyBorder="1" applyAlignment="1">
      <alignment vertical="center"/>
    </xf>
    <xf numFmtId="0" fontId="72" fillId="0" borderId="7" xfId="307" applyFont="1" applyBorder="1" applyAlignment="1">
      <alignment vertical="center"/>
    </xf>
    <xf numFmtId="0" fontId="72" fillId="0" borderId="3" xfId="307" applyFont="1" applyBorder="1" applyAlignment="1">
      <alignment vertical="center"/>
    </xf>
    <xf numFmtId="4" fontId="72" fillId="0" borderId="3" xfId="307" applyNumberFormat="1" applyFont="1" applyBorder="1" applyAlignment="1">
      <alignment vertical="center"/>
    </xf>
    <xf numFmtId="4" fontId="71" fillId="0" borderId="8" xfId="307" applyNumberFormat="1" applyFont="1" applyBorder="1" applyAlignment="1">
      <alignment vertical="center"/>
    </xf>
    <xf numFmtId="0" fontId="72" fillId="0" borderId="55" xfId="307" applyFont="1" applyBorder="1"/>
    <xf numFmtId="0" fontId="72" fillId="0" borderId="38" xfId="307" applyFont="1" applyBorder="1"/>
    <xf numFmtId="0" fontId="72" fillId="0" borderId="41" xfId="307" applyFont="1" applyBorder="1"/>
    <xf numFmtId="0" fontId="72" fillId="0" borderId="42" xfId="307" applyFont="1" applyBorder="1"/>
    <xf numFmtId="4" fontId="72" fillId="0" borderId="42" xfId="307" applyNumberFormat="1" applyFont="1" applyBorder="1"/>
    <xf numFmtId="4" fontId="72" fillId="0" borderId="39" xfId="307" applyNumberFormat="1" applyFont="1" applyBorder="1"/>
    <xf numFmtId="0" fontId="8" fillId="0" borderId="13" xfId="0" applyFont="1" applyFill="1" applyBorder="1">
      <alignment vertical="center"/>
    </xf>
    <xf numFmtId="166" fontId="30" fillId="0" borderId="13" xfId="13" applyFont="1" applyFill="1" applyBorder="1" applyAlignment="1">
      <alignment vertical="center"/>
    </xf>
    <xf numFmtId="166" fontId="42" fillId="0" borderId="0" xfId="13" applyFont="1"/>
    <xf numFmtId="42" fontId="42" fillId="0" borderId="0" xfId="303" applyNumberFormat="1" applyFont="1"/>
    <xf numFmtId="0" fontId="8" fillId="0" borderId="0" xfId="0" applyFont="1" applyAlignment="1">
      <alignment horizontal="center" vertical="center"/>
    </xf>
    <xf numFmtId="0" fontId="0" fillId="0" borderId="0" xfId="0" applyAlignment="1"/>
    <xf numFmtId="42" fontId="0" fillId="0" borderId="0" xfId="13" applyNumberFormat="1" applyFont="1" applyAlignment="1">
      <alignment vertical="center"/>
    </xf>
    <xf numFmtId="193" fontId="0" fillId="0" borderId="0" xfId="13" applyNumberFormat="1" applyFont="1" applyAlignment="1">
      <alignment vertical="center"/>
    </xf>
    <xf numFmtId="0" fontId="0" fillId="13" borderId="0" xfId="0" applyFill="1" applyAlignment="1">
      <alignment horizontal="center" vertical="center"/>
    </xf>
    <xf numFmtId="2" fontId="0" fillId="0" borderId="0" xfId="0" applyNumberFormat="1">
      <alignment vertical="center"/>
    </xf>
    <xf numFmtId="44" fontId="0" fillId="0" borderId="0" xfId="0" applyNumberFormat="1">
      <alignment vertical="center"/>
    </xf>
    <xf numFmtId="166" fontId="40" fillId="0" borderId="0" xfId="0" applyNumberFormat="1" applyFont="1" applyFill="1">
      <alignment vertical="center"/>
    </xf>
    <xf numFmtId="0" fontId="0" fillId="0" borderId="33" xfId="0" applyFill="1" applyBorder="1" applyAlignment="1">
      <alignment horizontal="center" vertical="center"/>
    </xf>
    <xf numFmtId="0" fontId="0" fillId="0" borderId="33" xfId="0" applyFill="1" applyBorder="1">
      <alignment vertical="center"/>
    </xf>
    <xf numFmtId="0" fontId="13" fillId="0" borderId="33" xfId="0" applyFont="1" applyFill="1" applyBorder="1" applyAlignment="1">
      <alignment horizontal="center" vertical="center"/>
    </xf>
    <xf numFmtId="190" fontId="0" fillId="0" borderId="33" xfId="13" applyNumberFormat="1" applyFont="1" applyFill="1" applyBorder="1" applyAlignment="1">
      <alignment vertical="center"/>
    </xf>
    <xf numFmtId="166" fontId="0" fillId="0" borderId="33" xfId="13" applyFont="1" applyFill="1" applyBorder="1" applyAlignment="1">
      <alignment vertical="center"/>
    </xf>
    <xf numFmtId="165" fontId="0" fillId="0" borderId="33" xfId="22" applyNumberFormat="1" applyFont="1" applyFill="1" applyBorder="1" applyAlignment="1">
      <alignment vertical="center"/>
    </xf>
    <xf numFmtId="1" fontId="0" fillId="0" borderId="33" xfId="0" applyNumberFormat="1" applyFill="1" applyBorder="1" applyAlignment="1">
      <alignment horizontal="center" vertical="center"/>
    </xf>
    <xf numFmtId="0" fontId="30" fillId="0" borderId="33" xfId="0" applyFont="1" applyFill="1" applyBorder="1">
      <alignment vertical="center"/>
    </xf>
    <xf numFmtId="43" fontId="0" fillId="0" borderId="0" xfId="0" applyNumberFormat="1" applyFill="1">
      <alignment vertical="center"/>
    </xf>
    <xf numFmtId="189" fontId="40" fillId="6" borderId="18" xfId="0" applyNumberFormat="1" applyFont="1" applyFill="1" applyBorder="1" applyAlignment="1">
      <alignment horizontal="center" vertical="center"/>
    </xf>
    <xf numFmtId="0" fontId="34" fillId="0" borderId="18" xfId="0" applyFont="1" applyBorder="1">
      <alignment vertical="center"/>
    </xf>
    <xf numFmtId="193" fontId="8" fillId="0" borderId="0" xfId="13" applyNumberFormat="1" applyFont="1" applyAlignment="1">
      <alignment vertical="center"/>
    </xf>
    <xf numFmtId="0" fontId="0" fillId="0" borderId="0" xfId="0" applyAlignment="1">
      <alignment horizontal="left" vertical="center"/>
    </xf>
    <xf numFmtId="193" fontId="0" fillId="0" borderId="0" xfId="13" applyNumberFormat="1" applyFont="1" applyAlignment="1">
      <alignment horizontal="left" vertical="center"/>
    </xf>
    <xf numFmtId="193" fontId="8" fillId="0" borderId="0" xfId="13" applyNumberFormat="1" applyFont="1" applyAlignment="1">
      <alignment horizontal="left" vertical="center"/>
    </xf>
    <xf numFmtId="0" fontId="8" fillId="0" borderId="0" xfId="0" applyFont="1" applyAlignment="1"/>
    <xf numFmtId="193" fontId="8" fillId="0" borderId="0" xfId="13" applyNumberFormat="1" applyFont="1" applyAlignment="1">
      <alignment horizontal="center" vertical="center"/>
    </xf>
    <xf numFmtId="0" fontId="40" fillId="6" borderId="13" xfId="0" applyFont="1" applyFill="1" applyBorder="1" applyAlignment="1">
      <alignment horizontal="center" vertical="center"/>
    </xf>
    <xf numFmtId="0" fontId="40" fillId="6" borderId="13" xfId="0" applyFont="1" applyFill="1" applyBorder="1">
      <alignment vertical="center"/>
    </xf>
    <xf numFmtId="190" fontId="40" fillId="6" borderId="13" xfId="13" applyNumberFormat="1" applyFont="1" applyFill="1" applyBorder="1" applyAlignment="1">
      <alignment vertical="center"/>
    </xf>
    <xf numFmtId="166" fontId="13" fillId="6" borderId="13" xfId="13" applyFont="1" applyFill="1" applyBorder="1" applyAlignment="1">
      <alignment vertical="center"/>
    </xf>
    <xf numFmtId="165" fontId="40" fillId="6" borderId="13" xfId="22" applyNumberFormat="1" applyFont="1" applyFill="1" applyBorder="1" applyAlignment="1">
      <alignment vertical="center"/>
    </xf>
    <xf numFmtId="1" fontId="40" fillId="6" borderId="13" xfId="0" applyNumberFormat="1" applyFont="1" applyFill="1" applyBorder="1" applyAlignment="1">
      <alignment horizontal="center" vertical="center"/>
    </xf>
    <xf numFmtId="167" fontId="0" fillId="6" borderId="0" xfId="0" applyNumberFormat="1" applyFill="1">
      <alignment vertical="center"/>
    </xf>
    <xf numFmtId="190" fontId="0" fillId="6" borderId="0" xfId="13" applyNumberFormat="1" applyFont="1" applyFill="1" applyAlignment="1">
      <alignment vertical="center"/>
    </xf>
    <xf numFmtId="190" fontId="40" fillId="6" borderId="0" xfId="13" applyNumberFormat="1" applyFont="1" applyFill="1" applyAlignment="1">
      <alignment vertical="center"/>
    </xf>
    <xf numFmtId="0" fontId="8" fillId="6" borderId="0" xfId="0" applyFont="1" applyFill="1">
      <alignment vertical="center"/>
    </xf>
    <xf numFmtId="166" fontId="0" fillId="0" borderId="0" xfId="13" applyFont="1" applyFill="1" applyAlignment="1">
      <alignment vertical="center"/>
    </xf>
    <xf numFmtId="0" fontId="75" fillId="0" borderId="18" xfId="0" applyFont="1" applyFill="1" applyBorder="1">
      <alignment vertical="center"/>
    </xf>
    <xf numFmtId="190" fontId="0" fillId="0" borderId="0" xfId="13" applyNumberFormat="1" applyFont="1" applyFill="1" applyAlignment="1">
      <alignment vertical="center"/>
    </xf>
    <xf numFmtId="44" fontId="13" fillId="0" borderId="0" xfId="0" applyNumberFormat="1" applyFont="1">
      <alignment vertical="center"/>
    </xf>
    <xf numFmtId="42" fontId="13" fillId="0" borderId="0" xfId="13" applyNumberFormat="1" applyFont="1" applyAlignment="1">
      <alignment vertical="center"/>
    </xf>
    <xf numFmtId="166" fontId="8" fillId="0" borderId="0" xfId="13" applyFont="1" applyFill="1" applyBorder="1" applyAlignment="1">
      <alignment vertical="center"/>
    </xf>
    <xf numFmtId="166" fontId="8" fillId="0" borderId="13" xfId="13" applyFont="1" applyFill="1" applyBorder="1" applyAlignment="1">
      <alignment vertical="center"/>
    </xf>
    <xf numFmtId="166" fontId="8" fillId="0" borderId="18" xfId="13" applyFont="1" applyFill="1" applyBorder="1" applyAlignment="1">
      <alignment vertical="center"/>
    </xf>
    <xf numFmtId="0" fontId="0" fillId="0" borderId="3" xfId="0" applyFill="1" applyBorder="1">
      <alignment vertical="center"/>
    </xf>
    <xf numFmtId="1" fontId="0" fillId="6" borderId="13" xfId="22" applyNumberFormat="1" applyFont="1" applyFill="1" applyBorder="1" applyAlignment="1">
      <alignment vertical="center"/>
    </xf>
    <xf numFmtId="1" fontId="0" fillId="14" borderId="75" xfId="0" applyNumberFormat="1" applyFill="1" applyBorder="1">
      <alignment vertical="center"/>
    </xf>
    <xf numFmtId="166" fontId="75" fillId="6" borderId="18" xfId="13" applyFont="1" applyFill="1" applyBorder="1" applyAlignment="1">
      <alignment vertical="center"/>
    </xf>
    <xf numFmtId="2" fontId="0" fillId="6" borderId="13" xfId="22" applyNumberFormat="1" applyFont="1" applyFill="1" applyBorder="1" applyAlignment="1">
      <alignment vertical="center"/>
    </xf>
    <xf numFmtId="2" fontId="0" fillId="14" borderId="75" xfId="0" applyNumberFormat="1" applyFill="1" applyBorder="1">
      <alignment vertical="center"/>
    </xf>
    <xf numFmtId="165" fontId="0" fillId="16" borderId="13" xfId="22" applyNumberFormat="1" applyFont="1" applyFill="1" applyBorder="1" applyAlignment="1">
      <alignment vertical="center"/>
    </xf>
    <xf numFmtId="165" fontId="7" fillId="16" borderId="75" xfId="22" applyNumberFormat="1" applyFont="1" applyFill="1" applyBorder="1" applyAlignment="1">
      <alignment horizontal="center" vertical="center" wrapText="1"/>
    </xf>
    <xf numFmtId="0" fontId="7" fillId="15" borderId="75" xfId="0" applyFont="1" applyFill="1" applyBorder="1" applyAlignment="1">
      <alignment horizontal="center" vertical="center"/>
    </xf>
    <xf numFmtId="165" fontId="7" fillId="15" borderId="75" xfId="22" applyNumberFormat="1" applyFont="1" applyFill="1" applyBorder="1" applyAlignment="1">
      <alignment horizontal="center" vertical="center" wrapText="1"/>
    </xf>
    <xf numFmtId="0" fontId="31" fillId="15" borderId="75" xfId="0" applyFont="1" applyFill="1" applyBorder="1" applyAlignment="1">
      <alignment horizontal="center" vertical="center" wrapText="1"/>
    </xf>
    <xf numFmtId="190" fontId="0" fillId="6" borderId="13" xfId="13" applyNumberFormat="1" applyFont="1" applyFill="1" applyBorder="1" applyAlignment="1">
      <alignment vertical="center"/>
    </xf>
    <xf numFmtId="190" fontId="0" fillId="16" borderId="13" xfId="13" applyNumberFormat="1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165" fontId="13" fillId="14" borderId="32" xfId="0" applyNumberFormat="1" applyFont="1" applyFill="1" applyBorder="1">
      <alignment vertical="center"/>
    </xf>
    <xf numFmtId="2" fontId="0" fillId="0" borderId="18" xfId="22" applyNumberFormat="1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0" fillId="17" borderId="57" xfId="0" applyFill="1" applyBorder="1" applyAlignment="1">
      <alignment horizontal="center" vertical="center"/>
    </xf>
    <xf numFmtId="0" fontId="8" fillId="17" borderId="57" xfId="0" applyFont="1" applyFill="1" applyBorder="1" applyAlignment="1">
      <alignment horizontal="center" vertical="center"/>
    </xf>
    <xf numFmtId="166" fontId="0" fillId="0" borderId="0" xfId="13" applyFont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8" fillId="18" borderId="18" xfId="0" applyFont="1" applyFill="1" applyBorder="1">
      <alignment vertical="center"/>
    </xf>
    <xf numFmtId="0" fontId="13" fillId="18" borderId="18" xfId="0" applyFont="1" applyFill="1" applyBorder="1" applyAlignment="1">
      <alignment horizontal="center" vertical="center"/>
    </xf>
    <xf numFmtId="190" fontId="0" fillId="18" borderId="18" xfId="13" applyNumberFormat="1" applyFont="1" applyFill="1" applyBorder="1" applyAlignment="1">
      <alignment vertical="center"/>
    </xf>
    <xf numFmtId="166" fontId="0" fillId="18" borderId="18" xfId="13" applyFont="1" applyFill="1" applyBorder="1" applyAlignment="1">
      <alignment vertical="center"/>
    </xf>
    <xf numFmtId="165" fontId="0" fillId="18" borderId="18" xfId="22" applyNumberFormat="1" applyFont="1" applyFill="1" applyBorder="1" applyAlignment="1">
      <alignment vertical="center"/>
    </xf>
    <xf numFmtId="189" fontId="0" fillId="18" borderId="18" xfId="0" applyNumberForma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0" fontId="40" fillId="18" borderId="18" xfId="0" applyFont="1" applyFill="1" applyBorder="1" applyAlignment="1">
      <alignment horizontal="center" vertical="center"/>
    </xf>
    <xf numFmtId="0" fontId="40" fillId="18" borderId="18" xfId="0" applyFont="1" applyFill="1" applyBorder="1">
      <alignment vertical="center"/>
    </xf>
    <xf numFmtId="190" fontId="40" fillId="18" borderId="18" xfId="13" applyNumberFormat="1" applyFont="1" applyFill="1" applyBorder="1" applyAlignment="1">
      <alignment vertical="center"/>
    </xf>
    <xf numFmtId="166" fontId="40" fillId="18" borderId="18" xfId="13" applyFont="1" applyFill="1" applyBorder="1" applyAlignment="1">
      <alignment vertical="center"/>
    </xf>
    <xf numFmtId="165" fontId="40" fillId="18" borderId="18" xfId="22" applyNumberFormat="1" applyFont="1" applyFill="1" applyBorder="1" applyAlignment="1">
      <alignment vertical="center"/>
    </xf>
    <xf numFmtId="189" fontId="40" fillId="18" borderId="18" xfId="0" applyNumberFormat="1" applyFont="1" applyFill="1" applyBorder="1" applyAlignment="1">
      <alignment horizontal="center" vertical="center"/>
    </xf>
    <xf numFmtId="1" fontId="40" fillId="18" borderId="18" xfId="0" applyNumberFormat="1" applyFont="1" applyFill="1" applyBorder="1" applyAlignment="1">
      <alignment horizontal="center" vertical="center"/>
    </xf>
    <xf numFmtId="0" fontId="0" fillId="18" borderId="33" xfId="0" applyFill="1" applyBorder="1" applyAlignment="1">
      <alignment horizontal="center" vertical="center"/>
    </xf>
    <xf numFmtId="0" fontId="0" fillId="18" borderId="33" xfId="0" applyFill="1" applyBorder="1">
      <alignment vertical="center"/>
    </xf>
    <xf numFmtId="0" fontId="13" fillId="18" borderId="33" xfId="0" applyFont="1" applyFill="1" applyBorder="1" applyAlignment="1">
      <alignment horizontal="center" vertical="center"/>
    </xf>
    <xf numFmtId="190" fontId="0" fillId="18" borderId="33" xfId="13" applyNumberFormat="1" applyFont="1" applyFill="1" applyBorder="1" applyAlignment="1">
      <alignment vertical="center"/>
    </xf>
    <xf numFmtId="166" fontId="0" fillId="18" borderId="33" xfId="13" applyFont="1" applyFill="1" applyBorder="1" applyAlignment="1">
      <alignment vertical="center"/>
    </xf>
    <xf numFmtId="165" fontId="0" fillId="18" borderId="33" xfId="22" applyNumberFormat="1" applyFont="1" applyFill="1" applyBorder="1" applyAlignment="1">
      <alignment vertical="center"/>
    </xf>
    <xf numFmtId="1" fontId="0" fillId="18" borderId="33" xfId="0" applyNumberFormat="1" applyFill="1" applyBorder="1" applyAlignment="1">
      <alignment horizontal="center" vertical="center"/>
    </xf>
    <xf numFmtId="0" fontId="30" fillId="18" borderId="33" xfId="0" applyFont="1" applyFill="1" applyBorder="1">
      <alignment vertical="center"/>
    </xf>
    <xf numFmtId="0" fontId="42" fillId="0" borderId="22" xfId="303" applyFont="1" applyBorder="1" applyAlignment="1">
      <alignment horizontal="center" vertical="center"/>
    </xf>
    <xf numFmtId="42" fontId="42" fillId="0" borderId="6" xfId="304" applyNumberFormat="1" applyFont="1" applyBorder="1" applyAlignment="1">
      <alignment vertical="center"/>
    </xf>
    <xf numFmtId="0" fontId="42" fillId="0" borderId="40" xfId="303" applyFont="1" applyBorder="1" applyAlignment="1">
      <alignment horizontal="center" vertical="center"/>
    </xf>
    <xf numFmtId="190" fontId="0" fillId="14" borderId="75" xfId="13" applyNumberFormat="1" applyFont="1" applyFill="1" applyBorder="1" applyAlignment="1">
      <alignment vertical="center"/>
    </xf>
    <xf numFmtId="0" fontId="34" fillId="18" borderId="18" xfId="0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166" fontId="13" fillId="6" borderId="0" xfId="13" applyFont="1" applyFill="1" applyAlignment="1">
      <alignment vertical="center"/>
    </xf>
    <xf numFmtId="0" fontId="13" fillId="6" borderId="0" xfId="0" applyFont="1" applyFill="1">
      <alignment vertical="center"/>
    </xf>
    <xf numFmtId="167" fontId="13" fillId="0" borderId="0" xfId="0" applyNumberFormat="1" applyFont="1">
      <alignment vertical="center"/>
    </xf>
    <xf numFmtId="0" fontId="46" fillId="0" borderId="18" xfId="303" applyFont="1" applyFill="1" applyBorder="1" applyAlignment="1">
      <alignment horizontal="left" vertical="center" wrapText="1"/>
    </xf>
    <xf numFmtId="0" fontId="40" fillId="6" borderId="18" xfId="303" applyFont="1" applyFill="1" applyBorder="1" applyAlignment="1">
      <alignment horizontal="center" vertical="center"/>
    </xf>
    <xf numFmtId="42" fontId="46" fillId="0" borderId="18" xfId="304" applyNumberFormat="1" applyFont="1" applyBorder="1" applyAlignment="1">
      <alignment vertical="center"/>
    </xf>
    <xf numFmtId="0" fontId="46" fillId="0" borderId="20" xfId="303" applyFont="1" applyBorder="1" applyAlignment="1">
      <alignment horizontal="center" vertical="center" wrapText="1"/>
    </xf>
    <xf numFmtId="0" fontId="76" fillId="0" borderId="114" xfId="0" applyFont="1" applyBorder="1" applyAlignment="1">
      <alignment horizontal="center" vertical="center"/>
    </xf>
    <xf numFmtId="0" fontId="76" fillId="0" borderId="110" xfId="0" applyFont="1" applyBorder="1" applyAlignment="1">
      <alignment horizontal="center" vertical="center"/>
    </xf>
    <xf numFmtId="0" fontId="76" fillId="0" borderId="110" xfId="0" applyFont="1" applyBorder="1" applyAlignment="1">
      <alignment vertical="center"/>
    </xf>
    <xf numFmtId="169" fontId="76" fillId="0" borderId="110" xfId="13" applyNumberFormat="1" applyFont="1" applyBorder="1" applyAlignment="1">
      <alignment vertical="center"/>
    </xf>
    <xf numFmtId="169" fontId="76" fillId="0" borderId="110" xfId="13" applyNumberFormat="1" applyFont="1" applyBorder="1" applyAlignment="1">
      <alignment horizontal="center" vertical="center"/>
    </xf>
    <xf numFmtId="169" fontId="76" fillId="0" borderId="115" xfId="13" applyNumberFormat="1" applyFont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76" fillId="0" borderId="116" xfId="0" applyFont="1" applyBorder="1" applyAlignment="1">
      <alignment horizontal="left" vertical="center"/>
    </xf>
    <xf numFmtId="0" fontId="76" fillId="0" borderId="0" xfId="0" quotePrefix="1" applyFont="1" applyBorder="1" applyAlignment="1">
      <alignment horizontal="center" vertical="center"/>
    </xf>
    <xf numFmtId="0" fontId="76" fillId="0" borderId="0" xfId="0" applyFont="1" applyBorder="1" applyAlignment="1">
      <alignment vertical="center"/>
    </xf>
    <xf numFmtId="0" fontId="76" fillId="0" borderId="0" xfId="0" applyFont="1" applyBorder="1" applyAlignment="1">
      <alignment horizontal="center" vertical="center"/>
    </xf>
    <xf numFmtId="169" fontId="76" fillId="0" borderId="0" xfId="13" applyNumberFormat="1" applyFont="1" applyBorder="1" applyAlignment="1">
      <alignment vertical="center"/>
    </xf>
    <xf numFmtId="169" fontId="76" fillId="0" borderId="0" xfId="13" applyNumberFormat="1" applyFont="1" applyBorder="1" applyAlignment="1">
      <alignment horizontal="center" vertical="center"/>
    </xf>
    <xf numFmtId="169" fontId="76" fillId="0" borderId="117" xfId="13" applyNumberFormat="1" applyFont="1" applyBorder="1" applyAlignment="1">
      <alignment horizontal="center" vertical="center"/>
    </xf>
    <xf numFmtId="0" fontId="79" fillId="0" borderId="0" xfId="0" applyFont="1" applyBorder="1" applyAlignment="1">
      <alignment vertical="center"/>
    </xf>
    <xf numFmtId="194" fontId="76" fillId="0" borderId="0" xfId="0" applyNumberFormat="1" applyFont="1" applyBorder="1" applyAlignment="1">
      <alignment horizontal="left" vertical="center"/>
    </xf>
    <xf numFmtId="0" fontId="76" fillId="0" borderId="116" xfId="0" applyFont="1" applyBorder="1" applyAlignment="1">
      <alignment horizontal="center" vertical="center"/>
    </xf>
    <xf numFmtId="169" fontId="76" fillId="0" borderId="38" xfId="13" applyNumberFormat="1" applyFont="1" applyBorder="1" applyAlignment="1">
      <alignment horizontal="center" vertical="center"/>
    </xf>
    <xf numFmtId="0" fontId="81" fillId="7" borderId="123" xfId="309" applyFont="1" applyFill="1" applyBorder="1" applyAlignment="1">
      <alignment horizontal="center" vertical="center" wrapText="1"/>
    </xf>
    <xf numFmtId="0" fontId="79" fillId="0" borderId="0" xfId="0" applyFont="1" applyAlignment="1">
      <alignment vertical="center" wrapText="1"/>
    </xf>
    <xf numFmtId="0" fontId="81" fillId="7" borderId="128" xfId="309" applyFont="1" applyFill="1" applyBorder="1" applyAlignment="1">
      <alignment horizontal="center" vertical="center" wrapText="1"/>
    </xf>
    <xf numFmtId="0" fontId="81" fillId="7" borderId="135" xfId="309" applyFont="1" applyFill="1" applyBorder="1" applyAlignment="1">
      <alignment horizontal="center" vertical="center" wrapText="1"/>
    </xf>
    <xf numFmtId="0" fontId="80" fillId="19" borderId="138" xfId="0" applyFont="1" applyFill="1" applyBorder="1" applyAlignment="1">
      <alignment horizontal="center" vertical="center" wrapText="1"/>
    </xf>
    <xf numFmtId="0" fontId="80" fillId="19" borderId="139" xfId="0" applyFont="1" applyFill="1" applyBorder="1" applyAlignment="1">
      <alignment horizontal="center" vertical="center" wrapText="1"/>
    </xf>
    <xf numFmtId="0" fontId="80" fillId="19" borderId="56" xfId="0" applyFont="1" applyFill="1" applyBorder="1" applyAlignment="1">
      <alignment horizontal="center" vertical="center" wrapText="1"/>
    </xf>
    <xf numFmtId="0" fontId="80" fillId="19" borderId="140" xfId="0" applyFont="1" applyFill="1" applyBorder="1" applyAlignment="1">
      <alignment horizontal="center" vertical="center" wrapText="1"/>
    </xf>
    <xf numFmtId="169" fontId="80" fillId="19" borderId="14" xfId="13" applyNumberFormat="1" applyFont="1" applyFill="1" applyBorder="1" applyAlignment="1">
      <alignment horizontal="center" vertical="center" wrapText="1"/>
    </xf>
    <xf numFmtId="169" fontId="80" fillId="19" borderId="10" xfId="13" applyNumberFormat="1" applyFont="1" applyFill="1" applyBorder="1" applyAlignment="1">
      <alignment horizontal="center" vertical="center" wrapText="1"/>
    </xf>
    <xf numFmtId="169" fontId="80" fillId="19" borderId="13" xfId="13" applyNumberFormat="1" applyFont="1" applyFill="1" applyBorder="1" applyAlignment="1">
      <alignment horizontal="center" vertical="center" wrapText="1"/>
    </xf>
    <xf numFmtId="169" fontId="80" fillId="19" borderId="141" xfId="13" applyNumberFormat="1" applyFont="1" applyFill="1" applyBorder="1" applyAlignment="1">
      <alignment horizontal="center" vertical="center" wrapText="1"/>
    </xf>
    <xf numFmtId="169" fontId="80" fillId="19" borderId="12" xfId="13" applyNumberFormat="1" applyFont="1" applyFill="1" applyBorder="1" applyAlignment="1">
      <alignment horizontal="center" vertical="center" wrapText="1"/>
    </xf>
    <xf numFmtId="169" fontId="80" fillId="19" borderId="11" xfId="13" applyNumberFormat="1" applyFont="1" applyFill="1" applyBorder="1" applyAlignment="1">
      <alignment horizontal="center" vertical="center" wrapText="1"/>
    </xf>
    <xf numFmtId="0" fontId="81" fillId="19" borderId="140" xfId="309" applyFont="1" applyFill="1" applyBorder="1" applyAlignment="1">
      <alignment horizontal="center" vertical="center" wrapText="1"/>
    </xf>
    <xf numFmtId="169" fontId="80" fillId="19" borderId="142" xfId="13" applyNumberFormat="1" applyFont="1" applyFill="1" applyBorder="1" applyAlignment="1">
      <alignment horizontal="center" vertical="center" wrapText="1"/>
    </xf>
    <xf numFmtId="0" fontId="79" fillId="19" borderId="14" xfId="0" applyFont="1" applyFill="1" applyBorder="1" applyAlignment="1">
      <alignment vertical="center" wrapText="1"/>
    </xf>
    <xf numFmtId="0" fontId="82" fillId="3" borderId="138" xfId="0" applyFont="1" applyFill="1" applyBorder="1" applyAlignment="1">
      <alignment horizontal="center" vertical="center" wrapText="1"/>
    </xf>
    <xf numFmtId="0" fontId="82" fillId="3" borderId="139" xfId="0" applyFont="1" applyFill="1" applyBorder="1" applyAlignment="1">
      <alignment horizontal="center" vertical="center" wrapText="1"/>
    </xf>
    <xf numFmtId="0" fontId="80" fillId="3" borderId="56" xfId="0" applyFont="1" applyFill="1" applyBorder="1" applyAlignment="1">
      <alignment horizontal="left" vertical="center" wrapText="1"/>
    </xf>
    <xf numFmtId="0" fontId="82" fillId="3" borderId="140" xfId="0" applyFont="1" applyFill="1" applyBorder="1" applyAlignment="1">
      <alignment horizontal="center" vertical="center" wrapText="1"/>
    </xf>
    <xf numFmtId="169" fontId="82" fillId="3" borderId="14" xfId="13" applyNumberFormat="1" applyFont="1" applyFill="1" applyBorder="1" applyAlignment="1">
      <alignment horizontal="center" vertical="center" wrapText="1"/>
    </xf>
    <xf numFmtId="169" fontId="82" fillId="3" borderId="10" xfId="13" applyNumberFormat="1" applyFont="1" applyFill="1" applyBorder="1" applyAlignment="1">
      <alignment horizontal="center" vertical="center" wrapText="1"/>
    </xf>
    <xf numFmtId="169" fontId="80" fillId="3" borderId="13" xfId="13" applyNumberFormat="1" applyFont="1" applyFill="1" applyBorder="1" applyAlignment="1">
      <alignment horizontal="center" vertical="center" wrapText="1"/>
    </xf>
    <xf numFmtId="169" fontId="80" fillId="3" borderId="141" xfId="13" applyNumberFormat="1" applyFont="1" applyFill="1" applyBorder="1" applyAlignment="1">
      <alignment horizontal="center" vertical="center" wrapText="1"/>
    </xf>
    <xf numFmtId="169" fontId="80" fillId="3" borderId="12" xfId="13" applyNumberFormat="1" applyFont="1" applyFill="1" applyBorder="1" applyAlignment="1">
      <alignment horizontal="center" vertical="center" wrapText="1"/>
    </xf>
    <xf numFmtId="169" fontId="80" fillId="3" borderId="11" xfId="13" applyNumberFormat="1" applyFont="1" applyFill="1" applyBorder="1" applyAlignment="1">
      <alignment horizontal="center" vertical="center" wrapText="1"/>
    </xf>
    <xf numFmtId="169" fontId="82" fillId="3" borderId="140" xfId="13" applyNumberFormat="1" applyFont="1" applyFill="1" applyBorder="1" applyAlignment="1">
      <alignment horizontal="center" vertical="center" wrapText="1"/>
    </xf>
    <xf numFmtId="169" fontId="82" fillId="3" borderId="13" xfId="13" applyNumberFormat="1" applyFont="1" applyFill="1" applyBorder="1" applyAlignment="1">
      <alignment horizontal="center" vertical="center" wrapText="1"/>
    </xf>
    <xf numFmtId="195" fontId="82" fillId="3" borderId="141" xfId="13" applyNumberFormat="1" applyFont="1" applyFill="1" applyBorder="1" applyAlignment="1">
      <alignment horizontal="center" vertical="center" wrapText="1"/>
    </xf>
    <xf numFmtId="169" fontId="82" fillId="3" borderId="12" xfId="13" applyNumberFormat="1" applyFont="1" applyFill="1" applyBorder="1" applyAlignment="1">
      <alignment horizontal="center" vertical="center" wrapText="1"/>
    </xf>
    <xf numFmtId="195" fontId="82" fillId="3" borderId="143" xfId="13" applyNumberFormat="1" applyFont="1" applyFill="1" applyBorder="1" applyAlignment="1">
      <alignment horizontal="center" vertical="center" wrapText="1"/>
    </xf>
    <xf numFmtId="0" fontId="76" fillId="3" borderId="0" xfId="0" applyFont="1" applyFill="1" applyAlignment="1">
      <alignment vertical="center" wrapText="1"/>
    </xf>
    <xf numFmtId="0" fontId="82" fillId="0" borderId="144" xfId="0" applyFont="1" applyBorder="1" applyAlignment="1">
      <alignment horizontal="center" vertical="center"/>
    </xf>
    <xf numFmtId="0" fontId="82" fillId="0" borderId="21" xfId="0" applyFont="1" applyBorder="1" applyAlignment="1">
      <alignment horizontal="center" vertical="center"/>
    </xf>
    <xf numFmtId="0" fontId="82" fillId="0" borderId="52" xfId="0" applyFont="1" applyBorder="1" applyAlignment="1">
      <alignment vertical="center"/>
    </xf>
    <xf numFmtId="0" fontId="82" fillId="0" borderId="145" xfId="0" applyFont="1" applyBorder="1" applyAlignment="1">
      <alignment horizontal="center" vertical="center"/>
    </xf>
    <xf numFmtId="169" fontId="82" fillId="0" borderId="19" xfId="13" applyNumberFormat="1" applyFont="1" applyBorder="1" applyAlignment="1">
      <alignment vertical="center"/>
    </xf>
    <xf numFmtId="169" fontId="82" fillId="0" borderId="15" xfId="13" applyNumberFormat="1" applyFont="1" applyBorder="1" applyAlignment="1">
      <alignment horizontal="center" vertical="center"/>
    </xf>
    <xf numFmtId="169" fontId="82" fillId="0" borderId="18" xfId="13" applyNumberFormat="1" applyFont="1" applyBorder="1" applyAlignment="1">
      <alignment horizontal="center" vertical="center"/>
    </xf>
    <xf numFmtId="169" fontId="82" fillId="0" borderId="16" xfId="13" applyNumberFormat="1" applyFont="1" applyBorder="1" applyAlignment="1">
      <alignment horizontal="center" vertical="center"/>
    </xf>
    <xf numFmtId="169" fontId="82" fillId="13" borderId="15" xfId="13" applyNumberFormat="1" applyFont="1" applyFill="1" applyBorder="1" applyAlignment="1">
      <alignment horizontal="center" vertical="center"/>
    </xf>
    <xf numFmtId="169" fontId="82" fillId="13" borderId="18" xfId="13" applyNumberFormat="1" applyFont="1" applyFill="1" applyBorder="1" applyAlignment="1">
      <alignment horizontal="center" vertical="center"/>
    </xf>
    <xf numFmtId="169" fontId="82" fillId="13" borderId="20" xfId="13" applyNumberFormat="1" applyFont="1" applyFill="1" applyBorder="1" applyAlignment="1">
      <alignment horizontal="center" vertical="center"/>
    </xf>
    <xf numFmtId="169" fontId="82" fillId="19" borderId="145" xfId="13" applyNumberFormat="1" applyFont="1" applyFill="1" applyBorder="1" applyAlignment="1">
      <alignment horizontal="center" vertical="center"/>
    </xf>
    <xf numFmtId="195" fontId="82" fillId="0" borderId="20" xfId="13" applyNumberFormat="1" applyFont="1" applyBorder="1" applyAlignment="1">
      <alignment horizontal="center" vertical="center"/>
    </xf>
    <xf numFmtId="169" fontId="82" fillId="0" borderId="17" xfId="13" applyNumberFormat="1" applyFont="1" applyBorder="1" applyAlignment="1">
      <alignment horizontal="center" vertical="center"/>
    </xf>
    <xf numFmtId="195" fontId="82" fillId="0" borderId="143" xfId="13" applyNumberFormat="1" applyFont="1" applyBorder="1" applyAlignment="1">
      <alignment horizontal="center" vertical="center"/>
    </xf>
    <xf numFmtId="2" fontId="76" fillId="0" borderId="0" xfId="0" applyNumberFormat="1" applyFont="1" applyAlignment="1">
      <alignment vertical="center"/>
    </xf>
    <xf numFmtId="0" fontId="82" fillId="3" borderId="144" xfId="0" applyFont="1" applyFill="1" applyBorder="1" applyAlignment="1">
      <alignment horizontal="center" vertical="center"/>
    </xf>
    <xf numFmtId="0" fontId="82" fillId="3" borderId="21" xfId="0" applyFont="1" applyFill="1" applyBorder="1" applyAlignment="1">
      <alignment horizontal="center" vertical="center"/>
    </xf>
    <xf numFmtId="0" fontId="80" fillId="3" borderId="52" xfId="0" applyFont="1" applyFill="1" applyBorder="1" applyAlignment="1">
      <alignment vertical="center"/>
    </xf>
    <xf numFmtId="0" fontId="82" fillId="3" borderId="145" xfId="0" applyFont="1" applyFill="1" applyBorder="1" applyAlignment="1">
      <alignment horizontal="center" vertical="center"/>
    </xf>
    <xf numFmtId="169" fontId="82" fillId="3" borderId="19" xfId="13" applyNumberFormat="1" applyFont="1" applyFill="1" applyBorder="1" applyAlignment="1">
      <alignment vertical="center"/>
    </xf>
    <xf numFmtId="169" fontId="82" fillId="3" borderId="15" xfId="13" applyNumberFormat="1" applyFont="1" applyFill="1" applyBorder="1" applyAlignment="1">
      <alignment horizontal="center" vertical="center"/>
    </xf>
    <xf numFmtId="169" fontId="80" fillId="3" borderId="18" xfId="13" applyNumberFormat="1" applyFont="1" applyFill="1" applyBorder="1" applyAlignment="1">
      <alignment horizontal="center" vertical="center"/>
    </xf>
    <xf numFmtId="169" fontId="80" fillId="3" borderId="16" xfId="13" applyNumberFormat="1" applyFont="1" applyFill="1" applyBorder="1" applyAlignment="1">
      <alignment horizontal="center" vertical="center"/>
    </xf>
    <xf numFmtId="169" fontId="80" fillId="3" borderId="20" xfId="13" applyNumberFormat="1" applyFont="1" applyFill="1" applyBorder="1" applyAlignment="1">
      <alignment horizontal="center" vertical="center"/>
    </xf>
    <xf numFmtId="169" fontId="82" fillId="3" borderId="145" xfId="13" applyNumberFormat="1" applyFont="1" applyFill="1" applyBorder="1" applyAlignment="1">
      <alignment horizontal="center" vertical="center"/>
    </xf>
    <xf numFmtId="169" fontId="82" fillId="3" borderId="18" xfId="13" applyNumberFormat="1" applyFont="1" applyFill="1" applyBorder="1" applyAlignment="1">
      <alignment horizontal="center" vertical="center"/>
    </xf>
    <xf numFmtId="195" fontId="82" fillId="3" borderId="20" xfId="13" applyNumberFormat="1" applyFont="1" applyFill="1" applyBorder="1" applyAlignment="1">
      <alignment horizontal="center" vertical="center"/>
    </xf>
    <xf numFmtId="169" fontId="82" fillId="3" borderId="17" xfId="13" applyNumberFormat="1" applyFont="1" applyFill="1" applyBorder="1" applyAlignment="1">
      <alignment horizontal="center" vertical="center"/>
    </xf>
    <xf numFmtId="195" fontId="82" fillId="3" borderId="143" xfId="13" applyNumberFormat="1" applyFont="1" applyFill="1" applyBorder="1" applyAlignment="1">
      <alignment horizontal="center" vertical="center"/>
    </xf>
    <xf numFmtId="0" fontId="76" fillId="3" borderId="0" xfId="0" applyFont="1" applyFill="1" applyAlignment="1">
      <alignment vertical="center"/>
    </xf>
    <xf numFmtId="169" fontId="84" fillId="3" borderId="15" xfId="13" applyNumberFormat="1" applyFont="1" applyFill="1" applyBorder="1" applyAlignment="1">
      <alignment horizontal="center" vertical="center"/>
    </xf>
    <xf numFmtId="0" fontId="82" fillId="19" borderId="144" xfId="0" applyFont="1" applyFill="1" applyBorder="1" applyAlignment="1">
      <alignment horizontal="center" vertical="center"/>
    </xf>
    <xf numFmtId="0" fontId="82" fillId="19" borderId="21" xfId="0" applyFont="1" applyFill="1" applyBorder="1" applyAlignment="1">
      <alignment horizontal="center" vertical="center"/>
    </xf>
    <xf numFmtId="0" fontId="82" fillId="19" borderId="52" xfId="0" applyFont="1" applyFill="1" applyBorder="1" applyAlignment="1">
      <alignment vertical="center"/>
    </xf>
    <xf numFmtId="0" fontId="82" fillId="0" borderId="145" xfId="0" applyFont="1" applyFill="1" applyBorder="1" applyAlignment="1">
      <alignment horizontal="center" vertical="center"/>
    </xf>
    <xf numFmtId="169" fontId="82" fillId="0" borderId="19" xfId="13" applyNumberFormat="1" applyFont="1" applyFill="1" applyBorder="1" applyAlignment="1">
      <alignment vertical="center"/>
    </xf>
    <xf numFmtId="169" fontId="82" fillId="0" borderId="15" xfId="13" applyNumberFormat="1" applyFont="1" applyFill="1" applyBorder="1" applyAlignment="1">
      <alignment horizontal="center" vertical="center"/>
    </xf>
    <xf numFmtId="169" fontId="82" fillId="0" borderId="18" xfId="13" applyNumberFormat="1" applyFont="1" applyFill="1" applyBorder="1" applyAlignment="1">
      <alignment horizontal="center" vertical="center"/>
    </xf>
    <xf numFmtId="169" fontId="82" fillId="0" borderId="16" xfId="13" applyNumberFormat="1" applyFont="1" applyFill="1" applyBorder="1" applyAlignment="1">
      <alignment horizontal="center" vertical="center"/>
    </xf>
    <xf numFmtId="169" fontId="82" fillId="0" borderId="145" xfId="13" applyNumberFormat="1" applyFont="1" applyFill="1" applyBorder="1" applyAlignment="1">
      <alignment horizontal="center" vertical="center"/>
    </xf>
    <xf numFmtId="195" fontId="82" fillId="0" borderId="20" xfId="13" applyNumberFormat="1" applyFont="1" applyFill="1" applyBorder="1" applyAlignment="1">
      <alignment horizontal="center" vertical="center"/>
    </xf>
    <xf numFmtId="169" fontId="82" fillId="0" borderId="17" xfId="13" applyNumberFormat="1" applyFont="1" applyFill="1" applyBorder="1" applyAlignment="1">
      <alignment horizontal="center" vertical="center"/>
    </xf>
    <xf numFmtId="195" fontId="82" fillId="0" borderId="143" xfId="13" applyNumberFormat="1" applyFont="1" applyFill="1" applyBorder="1" applyAlignment="1">
      <alignment horizontal="center" vertical="center"/>
    </xf>
    <xf numFmtId="0" fontId="76" fillId="0" borderId="0" xfId="0" applyFont="1" applyFill="1" applyAlignment="1">
      <alignment vertical="center"/>
    </xf>
    <xf numFmtId="2" fontId="76" fillId="0" borderId="0" xfId="0" applyNumberFormat="1" applyFont="1" applyFill="1" applyAlignment="1">
      <alignment vertical="center"/>
    </xf>
    <xf numFmtId="0" fontId="82" fillId="0" borderId="144" xfId="0" applyFont="1" applyFill="1" applyBorder="1" applyAlignment="1">
      <alignment horizontal="center" vertical="center"/>
    </xf>
    <xf numFmtId="0" fontId="82" fillId="0" borderId="21" xfId="0" applyFont="1" applyFill="1" applyBorder="1" applyAlignment="1">
      <alignment horizontal="center" vertical="center"/>
    </xf>
    <xf numFmtId="0" fontId="82" fillId="0" borderId="52" xfId="0" applyFont="1" applyFill="1" applyBorder="1" applyAlignment="1">
      <alignment vertical="center"/>
    </xf>
    <xf numFmtId="195" fontId="82" fillId="0" borderId="146" xfId="13" applyNumberFormat="1" applyFont="1" applyBorder="1" applyAlignment="1">
      <alignment horizontal="center" vertical="center"/>
    </xf>
    <xf numFmtId="0" fontId="82" fillId="19" borderId="145" xfId="0" applyFont="1" applyFill="1" applyBorder="1" applyAlignment="1">
      <alignment horizontal="center" vertical="center"/>
    </xf>
    <xf numFmtId="169" fontId="82" fillId="19" borderId="19" xfId="13" applyNumberFormat="1" applyFont="1" applyFill="1" applyBorder="1" applyAlignment="1">
      <alignment vertical="center"/>
    </xf>
    <xf numFmtId="169" fontId="82" fillId="19" borderId="15" xfId="13" applyNumberFormat="1" applyFont="1" applyFill="1" applyBorder="1" applyAlignment="1">
      <alignment horizontal="center" vertical="center"/>
    </xf>
    <xf numFmtId="169" fontId="82" fillId="19" borderId="18" xfId="13" applyNumberFormat="1" applyFont="1" applyFill="1" applyBorder="1" applyAlignment="1">
      <alignment horizontal="center" vertical="center"/>
    </xf>
    <xf numFmtId="169" fontId="82" fillId="19" borderId="16" xfId="13" applyNumberFormat="1" applyFont="1" applyFill="1" applyBorder="1" applyAlignment="1">
      <alignment horizontal="center" vertical="center"/>
    </xf>
    <xf numFmtId="195" fontId="82" fillId="19" borderId="20" xfId="13" applyNumberFormat="1" applyFont="1" applyFill="1" applyBorder="1" applyAlignment="1">
      <alignment horizontal="center" vertical="center"/>
    </xf>
    <xf numFmtId="169" fontId="82" fillId="19" borderId="17" xfId="13" applyNumberFormat="1" applyFont="1" applyFill="1" applyBorder="1" applyAlignment="1">
      <alignment horizontal="center" vertical="center"/>
    </xf>
    <xf numFmtId="195" fontId="82" fillId="19" borderId="146" xfId="13" applyNumberFormat="1" applyFont="1" applyFill="1" applyBorder="1" applyAlignment="1">
      <alignment horizontal="center" vertical="center"/>
    </xf>
    <xf numFmtId="0" fontId="76" fillId="19" borderId="0" xfId="0" applyFont="1" applyFill="1" applyAlignment="1">
      <alignment vertical="center"/>
    </xf>
    <xf numFmtId="169" fontId="80" fillId="3" borderId="15" xfId="13" applyNumberFormat="1" applyFont="1" applyFill="1" applyBorder="1" applyAlignment="1">
      <alignment horizontal="center" vertical="center"/>
    </xf>
    <xf numFmtId="195" fontId="82" fillId="3" borderId="146" xfId="13" applyNumberFormat="1" applyFont="1" applyFill="1" applyBorder="1" applyAlignment="1">
      <alignment horizontal="center" vertical="center"/>
    </xf>
    <xf numFmtId="169" fontId="80" fillId="3" borderId="13" xfId="13" applyNumberFormat="1" applyFont="1" applyFill="1" applyBorder="1" applyAlignment="1">
      <alignment horizontal="center" vertical="center"/>
    </xf>
    <xf numFmtId="169" fontId="80" fillId="3" borderId="11" xfId="13" applyNumberFormat="1" applyFont="1" applyFill="1" applyBorder="1" applyAlignment="1">
      <alignment horizontal="center" vertical="center"/>
    </xf>
    <xf numFmtId="169" fontId="80" fillId="3" borderId="141" xfId="13" applyNumberFormat="1" applyFont="1" applyFill="1" applyBorder="1" applyAlignment="1">
      <alignment horizontal="center" vertical="center"/>
    </xf>
    <xf numFmtId="195" fontId="82" fillId="0" borderId="146" xfId="13" applyNumberFormat="1" applyFont="1" applyFill="1" applyBorder="1" applyAlignment="1">
      <alignment horizontal="center" vertical="center"/>
    </xf>
    <xf numFmtId="43" fontId="85" fillId="0" borderId="18" xfId="309" applyNumberFormat="1" applyFont="1" applyFill="1" applyBorder="1" applyAlignment="1">
      <alignment horizontal="right" vertical="center"/>
    </xf>
    <xf numFmtId="0" fontId="82" fillId="0" borderId="147" xfId="0" applyFont="1" applyBorder="1" applyAlignment="1">
      <alignment horizontal="center" vertical="center"/>
    </xf>
    <xf numFmtId="0" fontId="82" fillId="0" borderId="148" xfId="0" applyFont="1" applyBorder="1" applyAlignment="1">
      <alignment horizontal="center" vertical="center"/>
    </xf>
    <xf numFmtId="0" fontId="82" fillId="0" borderId="149" xfId="0" applyFont="1" applyBorder="1" applyAlignment="1">
      <alignment vertical="center"/>
    </xf>
    <xf numFmtId="0" fontId="82" fillId="0" borderId="150" xfId="0" applyFont="1" applyBorder="1" applyAlignment="1">
      <alignment horizontal="center" vertical="center"/>
    </xf>
    <xf numFmtId="169" fontId="82" fillId="0" borderId="151" xfId="13" applyNumberFormat="1" applyFont="1" applyBorder="1" applyAlignment="1">
      <alignment vertical="center"/>
    </xf>
    <xf numFmtId="169" fontId="82" fillId="0" borderId="53" xfId="13" applyNumberFormat="1" applyFont="1" applyBorder="1" applyAlignment="1">
      <alignment horizontal="center" vertical="center"/>
    </xf>
    <xf numFmtId="169" fontId="82" fillId="0" borderId="23" xfId="13" applyNumberFormat="1" applyFont="1" applyBorder="1" applyAlignment="1">
      <alignment horizontal="center" vertical="center"/>
    </xf>
    <xf numFmtId="169" fontId="82" fillId="0" borderId="152" xfId="13" applyNumberFormat="1" applyFont="1" applyBorder="1" applyAlignment="1">
      <alignment horizontal="center" vertical="center"/>
    </xf>
    <xf numFmtId="169" fontId="82" fillId="13" borderId="54" xfId="13" applyNumberFormat="1" applyFont="1" applyFill="1" applyBorder="1" applyAlignment="1">
      <alignment horizontal="center" vertical="center"/>
    </xf>
    <xf numFmtId="169" fontId="82" fillId="13" borderId="16" xfId="13" applyNumberFormat="1" applyFont="1" applyFill="1" applyBorder="1" applyAlignment="1">
      <alignment horizontal="center" vertical="center"/>
    </xf>
    <xf numFmtId="195" fontId="82" fillId="0" borderId="152" xfId="13" applyNumberFormat="1" applyFont="1" applyBorder="1" applyAlignment="1">
      <alignment horizontal="center" vertical="center"/>
    </xf>
    <xf numFmtId="195" fontId="82" fillId="0" borderId="153" xfId="13" applyNumberFormat="1" applyFont="1" applyBorder="1" applyAlignment="1">
      <alignment horizontal="center" vertical="center"/>
    </xf>
    <xf numFmtId="0" fontId="76" fillId="0" borderId="44" xfId="0" applyFont="1" applyBorder="1" applyAlignment="1">
      <alignment vertical="center"/>
    </xf>
    <xf numFmtId="0" fontId="80" fillId="0" borderId="154" xfId="0" applyFont="1" applyBorder="1" applyAlignment="1">
      <alignment horizontal="center" vertical="center"/>
    </xf>
    <xf numFmtId="0" fontId="80" fillId="0" borderId="118" xfId="0" applyFont="1" applyBorder="1" applyAlignment="1">
      <alignment horizontal="center" vertical="center"/>
    </xf>
    <xf numFmtId="0" fontId="82" fillId="0" borderId="25" xfId="0" applyFont="1" applyBorder="1" applyAlignment="1">
      <alignment horizontal="left" vertical="center"/>
    </xf>
    <xf numFmtId="0" fontId="82" fillId="0" borderId="25" xfId="0" applyFont="1" applyBorder="1" applyAlignment="1">
      <alignment horizontal="center" vertical="center"/>
    </xf>
    <xf numFmtId="169" fontId="82" fillId="0" borderId="25" xfId="13" applyNumberFormat="1" applyFont="1" applyBorder="1" applyAlignment="1">
      <alignment vertical="center"/>
    </xf>
    <xf numFmtId="169" fontId="82" fillId="0" borderId="118" xfId="13" applyNumberFormat="1" applyFont="1" applyBorder="1" applyAlignment="1">
      <alignment horizontal="center" vertical="center"/>
    </xf>
    <xf numFmtId="169" fontId="82" fillId="0" borderId="25" xfId="13" applyNumberFormat="1" applyFont="1" applyBorder="1" applyAlignment="1">
      <alignment horizontal="center" vertical="center"/>
    </xf>
    <xf numFmtId="169" fontId="82" fillId="0" borderId="90" xfId="13" applyNumberFormat="1" applyFont="1" applyBorder="1" applyAlignment="1">
      <alignment horizontal="center" vertical="center"/>
    </xf>
    <xf numFmtId="169" fontId="82" fillId="13" borderId="25" xfId="13" applyNumberFormat="1" applyFont="1" applyFill="1" applyBorder="1" applyAlignment="1">
      <alignment horizontal="center" vertical="center"/>
    </xf>
    <xf numFmtId="169" fontId="82" fillId="13" borderId="122" xfId="13" applyNumberFormat="1" applyFont="1" applyFill="1" applyBorder="1" applyAlignment="1">
      <alignment horizontal="center" vertical="center"/>
    </xf>
    <xf numFmtId="169" fontId="82" fillId="19" borderId="120" xfId="13" applyNumberFormat="1" applyFont="1" applyFill="1" applyBorder="1" applyAlignment="1">
      <alignment horizontal="center" vertical="center"/>
    </xf>
    <xf numFmtId="169" fontId="82" fillId="0" borderId="155" xfId="13" applyNumberFormat="1" applyFont="1" applyBorder="1" applyAlignment="1">
      <alignment horizontal="center" vertical="center"/>
    </xf>
    <xf numFmtId="169" fontId="86" fillId="3" borderId="0" xfId="50" applyNumberFormat="1" applyFont="1" applyFill="1"/>
    <xf numFmtId="0" fontId="80" fillId="0" borderId="156" xfId="0" applyFont="1" applyBorder="1" applyAlignment="1">
      <alignment horizontal="center" vertical="center"/>
    </xf>
    <xf numFmtId="0" fontId="80" fillId="0" borderId="73" xfId="0" applyFont="1" applyBorder="1" applyAlignment="1">
      <alignment horizontal="center" vertical="center"/>
    </xf>
    <xf numFmtId="0" fontId="82" fillId="0" borderId="129" xfId="0" applyFont="1" applyBorder="1" applyAlignment="1">
      <alignment horizontal="left" vertical="center"/>
    </xf>
    <xf numFmtId="0" fontId="82" fillId="0" borderId="129" xfId="0" applyFont="1" applyBorder="1" applyAlignment="1">
      <alignment horizontal="center" vertical="center"/>
    </xf>
    <xf numFmtId="169" fontId="82" fillId="0" borderId="129" xfId="13" applyNumberFormat="1" applyFont="1" applyBorder="1" applyAlignment="1">
      <alignment vertical="center"/>
    </xf>
    <xf numFmtId="169" fontId="82" fillId="0" borderId="73" xfId="13" applyNumberFormat="1" applyFont="1" applyBorder="1" applyAlignment="1">
      <alignment horizontal="center" vertical="center"/>
    </xf>
    <xf numFmtId="169" fontId="82" fillId="0" borderId="129" xfId="13" applyNumberFormat="1" applyFont="1" applyBorder="1" applyAlignment="1">
      <alignment horizontal="center" vertical="center"/>
    </xf>
    <xf numFmtId="169" fontId="82" fillId="0" borderId="76" xfId="13" applyNumberFormat="1" applyFont="1" applyBorder="1" applyAlignment="1">
      <alignment horizontal="center" vertical="center"/>
    </xf>
    <xf numFmtId="169" fontId="82" fillId="13" borderId="129" xfId="13" applyNumberFormat="1" applyFont="1" applyFill="1" applyBorder="1" applyAlignment="1">
      <alignment horizontal="center" vertical="center"/>
    </xf>
    <xf numFmtId="169" fontId="82" fillId="13" borderId="51" xfId="13" applyNumberFormat="1" applyFont="1" applyFill="1" applyBorder="1" applyAlignment="1">
      <alignment horizontal="center" vertical="center"/>
    </xf>
    <xf numFmtId="169" fontId="82" fillId="19" borderId="126" xfId="13" applyNumberFormat="1" applyFont="1" applyFill="1" applyBorder="1" applyAlignment="1">
      <alignment horizontal="center" vertical="center"/>
    </xf>
    <xf numFmtId="169" fontId="82" fillId="0" borderId="157" xfId="13" applyNumberFormat="1" applyFont="1" applyBorder="1" applyAlignment="1">
      <alignment horizontal="center" vertical="center"/>
    </xf>
    <xf numFmtId="0" fontId="82" fillId="0" borderId="156" xfId="0" applyFont="1" applyBorder="1" applyAlignment="1">
      <alignment horizontal="center" vertical="center"/>
    </xf>
    <xf numFmtId="0" fontId="82" fillId="0" borderId="73" xfId="0" applyFont="1" applyBorder="1" applyAlignment="1">
      <alignment horizontal="center" vertical="center"/>
    </xf>
    <xf numFmtId="0" fontId="82" fillId="0" borderId="129" xfId="0" quotePrefix="1" applyFont="1" applyBorder="1" applyAlignment="1">
      <alignment horizontal="center" vertical="center"/>
    </xf>
    <xf numFmtId="169" fontId="76" fillId="0" borderId="0" xfId="13" applyNumberFormat="1" applyFont="1" applyAlignment="1">
      <alignment horizontal="center" vertical="center"/>
    </xf>
    <xf numFmtId="0" fontId="82" fillId="0" borderId="158" xfId="0" applyFont="1" applyBorder="1" applyAlignment="1">
      <alignment horizontal="center" vertical="center"/>
    </xf>
    <xf numFmtId="0" fontId="82" fillId="0" borderId="91" xfId="0" applyFont="1" applyBorder="1" applyAlignment="1">
      <alignment horizontal="center" vertical="center"/>
    </xf>
    <xf numFmtId="0" fontId="82" fillId="0" borderId="93" xfId="0" applyFont="1" applyBorder="1" applyAlignment="1">
      <alignment horizontal="left" vertical="center"/>
    </xf>
    <xf numFmtId="0" fontId="82" fillId="0" borderId="93" xfId="0" quotePrefix="1" applyFont="1" applyBorder="1" applyAlignment="1">
      <alignment horizontal="center" vertical="center"/>
    </xf>
    <xf numFmtId="169" fontId="82" fillId="0" borderId="93" xfId="13" applyNumberFormat="1" applyFont="1" applyBorder="1" applyAlignment="1">
      <alignment vertical="center"/>
    </xf>
    <xf numFmtId="169" fontId="82" fillId="0" borderId="91" xfId="13" applyNumberFormat="1" applyFont="1" applyBorder="1" applyAlignment="1">
      <alignment horizontal="center" vertical="center"/>
    </xf>
    <xf numFmtId="169" fontId="82" fillId="0" borderId="93" xfId="13" applyNumberFormat="1" applyFont="1" applyBorder="1" applyAlignment="1">
      <alignment horizontal="center" vertical="center"/>
    </xf>
    <xf numFmtId="169" fontId="82" fillId="0" borderId="95" xfId="13" applyNumberFormat="1" applyFont="1" applyBorder="1" applyAlignment="1">
      <alignment horizontal="center" vertical="center"/>
    </xf>
    <xf numFmtId="169" fontId="82" fillId="13" borderId="93" xfId="13" applyNumberFormat="1" applyFont="1" applyFill="1" applyBorder="1" applyAlignment="1">
      <alignment horizontal="center" vertical="center"/>
    </xf>
    <xf numFmtId="169" fontId="82" fillId="13" borderId="92" xfId="13" applyNumberFormat="1" applyFont="1" applyFill="1" applyBorder="1" applyAlignment="1">
      <alignment horizontal="center" vertical="center"/>
    </xf>
    <xf numFmtId="169" fontId="82" fillId="19" borderId="134" xfId="13" applyNumberFormat="1" applyFont="1" applyFill="1" applyBorder="1" applyAlignment="1">
      <alignment horizontal="center" vertical="center"/>
    </xf>
    <xf numFmtId="169" fontId="82" fillId="0" borderId="159" xfId="13" applyNumberFormat="1" applyFont="1" applyBorder="1" applyAlignment="1">
      <alignment horizontal="center" vertical="center"/>
    </xf>
    <xf numFmtId="0" fontId="76" fillId="0" borderId="116" xfId="0" applyNumberFormat="1" applyFont="1" applyBorder="1" applyAlignment="1">
      <alignment horizontal="center" vertical="center"/>
    </xf>
    <xf numFmtId="0" fontId="76" fillId="0" borderId="0" xfId="0" applyNumberFormat="1" applyFont="1" applyBorder="1" applyAlignment="1">
      <alignment horizontal="center" vertical="center"/>
    </xf>
    <xf numFmtId="0" fontId="76" fillId="0" borderId="0" xfId="0" applyNumberFormat="1" applyFont="1" applyBorder="1" applyAlignment="1">
      <alignment horizontal="left" vertical="center"/>
    </xf>
    <xf numFmtId="0" fontId="76" fillId="0" borderId="0" xfId="0" quotePrefix="1" applyNumberFormat="1" applyFont="1" applyBorder="1" applyAlignment="1">
      <alignment horizontal="center" vertical="center"/>
    </xf>
    <xf numFmtId="0" fontId="76" fillId="0" borderId="0" xfId="13" applyNumberFormat="1" applyFont="1" applyBorder="1" applyAlignment="1">
      <alignment vertical="center"/>
    </xf>
    <xf numFmtId="0" fontId="76" fillId="0" borderId="0" xfId="13" applyNumberFormat="1" applyFont="1" applyBorder="1" applyAlignment="1">
      <alignment horizontal="center" vertical="center"/>
    </xf>
    <xf numFmtId="0" fontId="76" fillId="0" borderId="117" xfId="13" applyNumberFormat="1" applyFont="1" applyBorder="1" applyAlignment="1">
      <alignment horizontal="center" vertical="center"/>
    </xf>
    <xf numFmtId="0" fontId="76" fillId="0" borderId="0" xfId="0" applyNumberFormat="1" applyFont="1" applyAlignment="1">
      <alignment vertical="center"/>
    </xf>
    <xf numFmtId="0" fontId="87" fillId="0" borderId="0" xfId="23" applyFont="1" applyBorder="1" applyAlignment="1">
      <alignment horizontal="center"/>
    </xf>
    <xf numFmtId="0" fontId="76" fillId="0" borderId="0" xfId="0" applyNumberFormat="1" applyFont="1" applyAlignment="1">
      <alignment horizontal="center" vertical="center"/>
    </xf>
    <xf numFmtId="0" fontId="88" fillId="0" borderId="0" xfId="23" applyFont="1" applyBorder="1" applyAlignment="1">
      <alignment horizontal="center"/>
    </xf>
    <xf numFmtId="43" fontId="76" fillId="0" borderId="0" xfId="13" applyNumberFormat="1" applyFont="1" applyBorder="1" applyAlignment="1">
      <alignment horizontal="center" vertical="center"/>
    </xf>
    <xf numFmtId="196" fontId="89" fillId="0" borderId="0" xfId="308" applyNumberFormat="1" applyFont="1" applyBorder="1" applyAlignment="1">
      <alignment horizontal="center" vertical="center"/>
    </xf>
    <xf numFmtId="196" fontId="90" fillId="0" borderId="0" xfId="308" applyNumberFormat="1" applyFont="1" applyBorder="1" applyAlignment="1">
      <alignment horizontal="center" vertical="center"/>
    </xf>
    <xf numFmtId="196" fontId="91" fillId="0" borderId="0" xfId="308" applyNumberFormat="1" applyFont="1" applyBorder="1" applyAlignment="1">
      <alignment horizontal="center" vertical="center"/>
    </xf>
    <xf numFmtId="43" fontId="92" fillId="0" borderId="0" xfId="13" applyNumberFormat="1" applyFont="1" applyBorder="1" applyAlignment="1">
      <alignment horizontal="center" vertical="center"/>
    </xf>
    <xf numFmtId="0" fontId="89" fillId="0" borderId="0" xfId="0" applyFont="1" applyBorder="1" applyAlignment="1">
      <alignment horizontal="center" vertical="center"/>
    </xf>
    <xf numFmtId="41" fontId="76" fillId="0" borderId="0" xfId="13" applyNumberFormat="1" applyFont="1" applyBorder="1" applyAlignment="1">
      <alignment vertical="center"/>
    </xf>
    <xf numFmtId="41" fontId="93" fillId="0" borderId="0" xfId="13" applyNumberFormat="1" applyFont="1"/>
    <xf numFmtId="43" fontId="76" fillId="0" borderId="0" xfId="13" applyNumberFormat="1" applyFont="1" applyBorder="1" applyAlignment="1">
      <alignment vertical="center"/>
    </xf>
    <xf numFmtId="169" fontId="89" fillId="0" borderId="0" xfId="0" applyNumberFormat="1" applyFont="1" applyBorder="1" applyAlignment="1">
      <alignment horizontal="center" vertical="center"/>
    </xf>
    <xf numFmtId="43" fontId="89" fillId="0" borderId="0" xfId="0" applyNumberFormat="1" applyFont="1" applyBorder="1" applyAlignment="1">
      <alignment horizontal="center" vertical="center"/>
    </xf>
    <xf numFmtId="41" fontId="76" fillId="0" borderId="0" xfId="13" applyNumberFormat="1" applyFont="1" applyBorder="1" applyAlignment="1">
      <alignment horizontal="center" vertical="center"/>
    </xf>
    <xf numFmtId="0" fontId="94" fillId="0" borderId="0" xfId="23" applyFont="1" applyBorder="1" applyAlignment="1">
      <alignment horizontal="center"/>
    </xf>
    <xf numFmtId="0" fontId="95" fillId="0" borderId="0" xfId="0" applyFont="1" applyBorder="1" applyAlignment="1">
      <alignment horizontal="center" vertical="center"/>
    </xf>
    <xf numFmtId="0" fontId="79" fillId="0" borderId="160" xfId="0" applyFont="1" applyBorder="1" applyAlignment="1">
      <alignment horizontal="center" vertical="center"/>
    </xf>
    <xf numFmtId="0" fontId="79" fillId="0" borderId="97" xfId="0" applyFont="1" applyBorder="1" applyAlignment="1">
      <alignment horizontal="center" vertical="center"/>
    </xf>
    <xf numFmtId="0" fontId="79" fillId="0" borderId="97" xfId="0" applyFont="1" applyBorder="1" applyAlignment="1">
      <alignment vertical="center"/>
    </xf>
    <xf numFmtId="169" fontId="79" fillId="0" borderId="97" xfId="13" applyNumberFormat="1" applyFont="1" applyBorder="1" applyAlignment="1">
      <alignment vertical="center"/>
    </xf>
    <xf numFmtId="169" fontId="79" fillId="0" borderId="97" xfId="13" applyNumberFormat="1" applyFont="1" applyBorder="1" applyAlignment="1">
      <alignment horizontal="center" vertical="center"/>
    </xf>
    <xf numFmtId="169" fontId="79" fillId="0" borderId="161" xfId="13" applyNumberFormat="1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9" fillId="0" borderId="0" xfId="0" applyFont="1" applyBorder="1" applyAlignment="1">
      <alignment horizontal="center" vertical="center"/>
    </xf>
    <xf numFmtId="0" fontId="76" fillId="0" borderId="0" xfId="0" applyNumberFormat="1" applyFont="1" applyBorder="1" applyAlignment="1">
      <alignment vertical="center"/>
    </xf>
    <xf numFmtId="169" fontId="79" fillId="0" borderId="0" xfId="13" applyNumberFormat="1" applyFont="1" applyBorder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6" fillId="0" borderId="0" xfId="0" applyNumberFormat="1" applyFont="1" applyAlignment="1">
      <alignment horizontal="left" vertical="center"/>
    </xf>
    <xf numFmtId="0" fontId="76" fillId="0" borderId="0" xfId="0" quotePrefix="1" applyNumberFormat="1" applyFont="1" applyAlignment="1">
      <alignment horizontal="center" vertical="center"/>
    </xf>
    <xf numFmtId="0" fontId="76" fillId="0" borderId="0" xfId="13" applyNumberFormat="1" applyFont="1" applyAlignment="1">
      <alignment vertical="center"/>
    </xf>
    <xf numFmtId="0" fontId="76" fillId="0" borderId="0" xfId="13" applyNumberFormat="1" applyFont="1" applyAlignment="1">
      <alignment horizontal="center" vertical="center"/>
    </xf>
    <xf numFmtId="0" fontId="76" fillId="0" borderId="0" xfId="0" applyNumberFormat="1" applyFont="1" applyAlignment="1">
      <alignment horizontal="right" vertical="center"/>
    </xf>
    <xf numFmtId="169" fontId="76" fillId="0" borderId="0" xfId="13" applyNumberFormat="1" applyFont="1" applyAlignment="1">
      <alignment vertical="center"/>
    </xf>
    <xf numFmtId="166" fontId="96" fillId="6" borderId="18" xfId="13" applyFont="1" applyFill="1" applyBorder="1" applyAlignment="1">
      <alignment horizontal="center" vertical="center"/>
    </xf>
    <xf numFmtId="166" fontId="96" fillId="0" borderId="18" xfId="13" applyFont="1" applyFill="1" applyBorder="1" applyAlignment="1">
      <alignment horizontal="center" vertical="center"/>
    </xf>
    <xf numFmtId="0" fontId="97" fillId="0" borderId="0" xfId="303" applyFont="1" applyAlignment="1">
      <alignment horizontal="center" vertical="center"/>
    </xf>
    <xf numFmtId="192" fontId="98" fillId="0" borderId="0" xfId="303" applyNumberFormat="1" applyFont="1"/>
    <xf numFmtId="41" fontId="98" fillId="0" borderId="0" xfId="303" applyNumberFormat="1" applyFont="1"/>
    <xf numFmtId="43" fontId="0" fillId="6" borderId="0" xfId="0" applyNumberFormat="1" applyFill="1">
      <alignment vertical="center"/>
    </xf>
    <xf numFmtId="0" fontId="77" fillId="0" borderId="116" xfId="0" applyFont="1" applyBorder="1" applyAlignment="1">
      <alignment horizontal="center" vertical="center"/>
    </xf>
    <xf numFmtId="0" fontId="77" fillId="0" borderId="0" xfId="0" applyFont="1" applyBorder="1" applyAlignment="1">
      <alignment horizontal="center" vertical="center"/>
    </xf>
    <xf numFmtId="0" fontId="77" fillId="0" borderId="117" xfId="0" applyFont="1" applyBorder="1" applyAlignment="1">
      <alignment horizontal="center" vertical="center"/>
    </xf>
    <xf numFmtId="0" fontId="80" fillId="7" borderId="164" xfId="0" applyFont="1" applyFill="1" applyBorder="1" applyAlignment="1">
      <alignment horizontal="center" vertical="center" wrapText="1"/>
    </xf>
    <xf numFmtId="0" fontId="80" fillId="7" borderId="165" xfId="0" applyFont="1" applyFill="1" applyBorder="1" applyAlignment="1">
      <alignment horizontal="center" vertical="center" wrapText="1"/>
    </xf>
    <xf numFmtId="0" fontId="80" fillId="7" borderId="166" xfId="0" applyFont="1" applyFill="1" applyBorder="1" applyAlignment="1">
      <alignment horizontal="center" vertical="center" wrapText="1"/>
    </xf>
    <xf numFmtId="0" fontId="80" fillId="7" borderId="121" xfId="0" applyFont="1" applyFill="1" applyBorder="1" applyAlignment="1">
      <alignment horizontal="center" vertical="center" wrapText="1"/>
    </xf>
    <xf numFmtId="0" fontId="80" fillId="7" borderId="163" xfId="0" applyFont="1" applyFill="1" applyBorder="1" applyAlignment="1">
      <alignment horizontal="center" vertical="center" wrapText="1"/>
    </xf>
    <xf numFmtId="0" fontId="80" fillId="7" borderId="22" xfId="0" applyFont="1" applyFill="1" applyBorder="1" applyAlignment="1">
      <alignment horizontal="center" vertical="center" wrapText="1"/>
    </xf>
    <xf numFmtId="0" fontId="80" fillId="7" borderId="8" xfId="0" applyFont="1" applyFill="1" applyBorder="1" applyAlignment="1">
      <alignment horizontal="center" vertical="center" wrapText="1"/>
    </xf>
    <xf numFmtId="0" fontId="80" fillId="7" borderId="37" xfId="0" applyFont="1" applyFill="1" applyBorder="1" applyAlignment="1">
      <alignment horizontal="center" vertical="center" wrapText="1"/>
    </xf>
    <xf numFmtId="0" fontId="80" fillId="7" borderId="39" xfId="0" applyFont="1" applyFill="1" applyBorder="1" applyAlignment="1">
      <alignment horizontal="center" vertical="center" wrapText="1"/>
    </xf>
    <xf numFmtId="0" fontId="80" fillId="7" borderId="123" xfId="0" applyFont="1" applyFill="1" applyBorder="1" applyAlignment="1">
      <alignment horizontal="center" vertical="center" wrapText="1"/>
    </xf>
    <xf numFmtId="0" fontId="80" fillId="7" borderId="128" xfId="0" applyFont="1" applyFill="1" applyBorder="1" applyAlignment="1">
      <alignment horizontal="center" vertical="center" wrapText="1"/>
    </xf>
    <xf numFmtId="0" fontId="80" fillId="7" borderId="135" xfId="0" applyFont="1" applyFill="1" applyBorder="1" applyAlignment="1">
      <alignment horizontal="center" vertical="center" wrapText="1"/>
    </xf>
    <xf numFmtId="169" fontId="80" fillId="7" borderId="123" xfId="13" applyNumberFormat="1" applyFont="1" applyFill="1" applyBorder="1" applyAlignment="1">
      <alignment horizontal="center" vertical="center" wrapText="1"/>
    </xf>
    <xf numFmtId="169" fontId="80" fillId="7" borderId="128" xfId="13" applyNumberFormat="1" applyFont="1" applyFill="1" applyBorder="1" applyAlignment="1">
      <alignment horizontal="center" vertical="center" wrapText="1"/>
    </xf>
    <xf numFmtId="169" fontId="80" fillId="7" borderId="135" xfId="13" applyNumberFormat="1" applyFont="1" applyFill="1" applyBorder="1" applyAlignment="1">
      <alignment horizontal="center" vertical="center" wrapText="1"/>
    </xf>
    <xf numFmtId="169" fontId="80" fillId="7" borderId="118" xfId="13" applyNumberFormat="1" applyFont="1" applyFill="1" applyBorder="1" applyAlignment="1">
      <alignment horizontal="center" vertical="center" wrapText="1"/>
    </xf>
    <xf numFmtId="169" fontId="80" fillId="7" borderId="162" xfId="13" applyNumberFormat="1" applyFont="1" applyFill="1" applyBorder="1" applyAlignment="1">
      <alignment horizontal="center" vertical="center" wrapText="1"/>
    </xf>
    <xf numFmtId="169" fontId="80" fillId="7" borderId="119" xfId="13" applyNumberFormat="1" applyFont="1" applyFill="1" applyBorder="1" applyAlignment="1">
      <alignment horizontal="center" vertical="center" wrapText="1"/>
    </xf>
    <xf numFmtId="169" fontId="80" fillId="7" borderId="124" xfId="13" applyNumberFormat="1" applyFont="1" applyFill="1" applyBorder="1" applyAlignment="1">
      <alignment horizontal="center" vertical="center" wrapText="1"/>
    </xf>
    <xf numFmtId="169" fontId="80" fillId="7" borderId="131" xfId="13" applyNumberFormat="1" applyFont="1" applyFill="1" applyBorder="1" applyAlignment="1">
      <alignment horizontal="center" vertical="center" wrapText="1"/>
    </xf>
    <xf numFmtId="169" fontId="80" fillId="7" borderId="77" xfId="13" applyNumberFormat="1" applyFont="1" applyFill="1" applyBorder="1" applyAlignment="1">
      <alignment horizontal="center" vertical="center" wrapText="1"/>
    </xf>
    <xf numFmtId="169" fontId="80" fillId="7" borderId="55" xfId="13" applyNumberFormat="1" applyFont="1" applyFill="1" applyBorder="1" applyAlignment="1">
      <alignment horizontal="center" vertical="center" wrapText="1"/>
    </xf>
    <xf numFmtId="169" fontId="80" fillId="7" borderId="127" xfId="13" applyNumberFormat="1" applyFont="1" applyFill="1" applyBorder="1" applyAlignment="1">
      <alignment horizontal="center" vertical="center" wrapText="1"/>
    </xf>
    <xf numFmtId="169" fontId="80" fillId="7" borderId="3" xfId="13" applyNumberFormat="1" applyFont="1" applyFill="1" applyBorder="1" applyAlignment="1">
      <alignment horizontal="center" vertical="center" wrapText="1"/>
    </xf>
    <xf numFmtId="169" fontId="80" fillId="7" borderId="42" xfId="13" applyNumberFormat="1" applyFont="1" applyFill="1" applyBorder="1" applyAlignment="1">
      <alignment horizontal="center" vertical="center" wrapText="1"/>
    </xf>
    <xf numFmtId="169" fontId="80" fillId="7" borderId="132" xfId="13" applyNumberFormat="1" applyFont="1" applyFill="1" applyBorder="1" applyAlignment="1">
      <alignment horizontal="center" vertical="center" wrapText="1"/>
    </xf>
    <xf numFmtId="169" fontId="80" fillId="7" borderId="40" xfId="13" applyNumberFormat="1" applyFont="1" applyFill="1" applyBorder="1" applyAlignment="1">
      <alignment horizontal="center" vertical="center" wrapText="1"/>
    </xf>
    <xf numFmtId="169" fontId="80" fillId="7" borderId="136" xfId="13" applyNumberFormat="1" applyFont="1" applyFill="1" applyBorder="1" applyAlignment="1">
      <alignment horizontal="center" vertical="center" wrapText="1"/>
    </xf>
    <xf numFmtId="169" fontId="80" fillId="7" borderId="73" xfId="13" applyNumberFormat="1" applyFont="1" applyFill="1" applyBorder="1" applyAlignment="1">
      <alignment horizontal="center" vertical="center" wrapText="1"/>
    </xf>
    <xf numFmtId="169" fontId="80" fillId="7" borderId="129" xfId="13" applyNumberFormat="1" applyFont="1" applyFill="1" applyBorder="1" applyAlignment="1">
      <alignment horizontal="center" vertical="center" wrapText="1"/>
    </xf>
    <xf numFmtId="169" fontId="80" fillId="7" borderId="130" xfId="13" applyNumberFormat="1" applyFont="1" applyFill="1" applyBorder="1" applyAlignment="1">
      <alignment horizontal="center" vertical="center" wrapText="1"/>
    </xf>
    <xf numFmtId="169" fontId="80" fillId="7" borderId="133" xfId="13" applyNumberFormat="1" applyFont="1" applyFill="1" applyBorder="1" applyAlignment="1">
      <alignment horizontal="center" vertical="center" wrapText="1"/>
    </xf>
    <xf numFmtId="169" fontId="80" fillId="7" borderId="137" xfId="13" applyNumberFormat="1" applyFont="1" applyFill="1" applyBorder="1" applyAlignment="1">
      <alignment horizontal="center" vertical="center" wrapText="1"/>
    </xf>
    <xf numFmtId="169" fontId="80" fillId="7" borderId="125" xfId="13" applyNumberFormat="1" applyFont="1" applyFill="1" applyBorder="1" applyAlignment="1">
      <alignment horizontal="center" vertical="center" wrapText="1"/>
    </xf>
    <xf numFmtId="0" fontId="5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166" fontId="8" fillId="0" borderId="51" xfId="13" applyFont="1" applyBorder="1" applyAlignment="1">
      <alignment horizontal="left" vertical="center"/>
    </xf>
    <xf numFmtId="166" fontId="8" fillId="0" borderId="9" xfId="13" applyFont="1" applyBorder="1" applyAlignment="1">
      <alignment horizontal="left" vertical="center"/>
    </xf>
    <xf numFmtId="166" fontId="8" fillId="0" borderId="32" xfId="13" applyFont="1" applyBorder="1" applyAlignment="1">
      <alignment horizontal="left" vertical="center"/>
    </xf>
    <xf numFmtId="0" fontId="68" fillId="0" borderId="0" xfId="0" applyFont="1" applyAlignment="1">
      <alignment horizontal="center" vertical="center"/>
    </xf>
    <xf numFmtId="166" fontId="39" fillId="0" borderId="51" xfId="13" applyFont="1" applyBorder="1" applyAlignment="1">
      <alignment horizontal="left" vertical="center"/>
    </xf>
    <xf numFmtId="166" fontId="39" fillId="0" borderId="9" xfId="13" applyFont="1" applyBorder="1" applyAlignment="1">
      <alignment horizontal="left" vertical="center"/>
    </xf>
    <xf numFmtId="166" fontId="39" fillId="0" borderId="32" xfId="13" applyFont="1" applyBorder="1" applyAlignment="1">
      <alignment horizontal="left" vertical="center"/>
    </xf>
    <xf numFmtId="0" fontId="67" fillId="0" borderId="0" xfId="0" applyFont="1" applyAlignment="1">
      <alignment horizontal="center" vertical="center"/>
    </xf>
    <xf numFmtId="166" fontId="8" fillId="0" borderId="51" xfId="13" applyFont="1" applyBorder="1" applyAlignment="1">
      <alignment horizontal="center" vertical="center"/>
    </xf>
    <xf numFmtId="166" fontId="8" fillId="0" borderId="9" xfId="13" applyFont="1" applyBorder="1" applyAlignment="1">
      <alignment horizontal="center" vertical="center"/>
    </xf>
    <xf numFmtId="166" fontId="8" fillId="0" borderId="32" xfId="13" applyFont="1" applyBorder="1" applyAlignment="1">
      <alignment horizontal="center" vertical="center"/>
    </xf>
    <xf numFmtId="166" fontId="36" fillId="3" borderId="51" xfId="13" applyFont="1" applyFill="1" applyBorder="1" applyAlignment="1">
      <alignment horizontal="center" vertical="center"/>
    </xf>
    <xf numFmtId="166" fontId="36" fillId="3" borderId="9" xfId="13" applyFont="1" applyFill="1" applyBorder="1" applyAlignment="1">
      <alignment horizontal="center" vertical="center"/>
    </xf>
    <xf numFmtId="166" fontId="36" fillId="3" borderId="32" xfId="13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166" fontId="38" fillId="0" borderId="51" xfId="13" applyFont="1" applyBorder="1" applyAlignment="1">
      <alignment horizontal="left" vertical="center"/>
    </xf>
    <xf numFmtId="166" fontId="38" fillId="0" borderId="9" xfId="13" applyFont="1" applyBorder="1" applyAlignment="1">
      <alignment horizontal="left" vertical="center"/>
    </xf>
    <xf numFmtId="166" fontId="38" fillId="0" borderId="32" xfId="13" applyFont="1" applyBorder="1" applyAlignment="1">
      <alignment horizontal="left" vertical="center"/>
    </xf>
    <xf numFmtId="0" fontId="42" fillId="11" borderId="59" xfId="303" applyFont="1" applyFill="1" applyBorder="1" applyAlignment="1">
      <alignment horizontal="center" vertical="center"/>
    </xf>
    <xf numFmtId="0" fontId="42" fillId="11" borderId="60" xfId="303" applyFont="1" applyFill="1" applyBorder="1" applyAlignment="1">
      <alignment horizontal="center" vertical="center"/>
    </xf>
    <xf numFmtId="191" fontId="19" fillId="14" borderId="84" xfId="303" applyNumberFormat="1" applyFont="1" applyFill="1" applyBorder="1" applyAlignment="1">
      <alignment horizontal="center" vertical="center"/>
    </xf>
    <xf numFmtId="191" fontId="19" fillId="14" borderId="85" xfId="303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4" fillId="0" borderId="0" xfId="303" applyFont="1" applyAlignment="1">
      <alignment horizontal="center"/>
    </xf>
    <xf numFmtId="0" fontId="65" fillId="0" borderId="0" xfId="303" applyFont="1" applyAlignment="1">
      <alignment horizontal="center"/>
    </xf>
    <xf numFmtId="0" fontId="54" fillId="0" borderId="0" xfId="303" applyFont="1" applyAlignment="1">
      <alignment horizontal="center"/>
    </xf>
    <xf numFmtId="0" fontId="51" fillId="9" borderId="65" xfId="303" applyFont="1" applyFill="1" applyBorder="1" applyAlignment="1">
      <alignment horizontal="center" vertical="center"/>
    </xf>
    <xf numFmtId="0" fontId="51" fillId="9" borderId="67" xfId="303" applyFont="1" applyFill="1" applyBorder="1" applyAlignment="1">
      <alignment horizontal="center" vertical="center"/>
    </xf>
    <xf numFmtId="191" fontId="51" fillId="9" borderId="48" xfId="303" applyNumberFormat="1" applyFont="1" applyFill="1" applyBorder="1" applyAlignment="1">
      <alignment horizontal="center" vertical="center"/>
    </xf>
    <xf numFmtId="191" fontId="51" fillId="9" borderId="68" xfId="303" applyNumberFormat="1" applyFont="1" applyFill="1" applyBorder="1" applyAlignment="1">
      <alignment horizontal="center" vertical="center"/>
    </xf>
    <xf numFmtId="0" fontId="51" fillId="9" borderId="48" xfId="303" applyFont="1" applyFill="1" applyBorder="1" applyAlignment="1">
      <alignment horizontal="center" vertical="center" wrapText="1"/>
    </xf>
    <xf numFmtId="0" fontId="51" fillId="9" borderId="68" xfId="303" applyFont="1" applyFill="1" applyBorder="1" applyAlignment="1">
      <alignment horizontal="center" vertical="center" wrapText="1"/>
    </xf>
    <xf numFmtId="0" fontId="46" fillId="9" borderId="48" xfId="303" applyFont="1" applyFill="1" applyBorder="1" applyAlignment="1">
      <alignment horizontal="center" vertical="center"/>
    </xf>
    <xf numFmtId="0" fontId="46" fillId="9" borderId="68" xfId="303" applyFont="1" applyFill="1" applyBorder="1" applyAlignment="1">
      <alignment horizontal="center" vertical="center"/>
    </xf>
    <xf numFmtId="41" fontId="51" fillId="9" borderId="48" xfId="305" applyFont="1" applyFill="1" applyBorder="1" applyAlignment="1">
      <alignment horizontal="center" vertical="center"/>
    </xf>
    <xf numFmtId="41" fontId="51" fillId="9" borderId="68" xfId="305" applyFont="1" applyFill="1" applyBorder="1" applyAlignment="1">
      <alignment horizontal="center" vertical="center"/>
    </xf>
    <xf numFmtId="41" fontId="51" fillId="9" borderId="66" xfId="305" applyFont="1" applyFill="1" applyBorder="1" applyAlignment="1">
      <alignment horizontal="center" vertical="center" wrapText="1"/>
    </xf>
    <xf numFmtId="41" fontId="51" fillId="9" borderId="64" xfId="305" applyFont="1" applyFill="1" applyBorder="1" applyAlignment="1">
      <alignment horizontal="center" vertical="center" wrapText="1"/>
    </xf>
    <xf numFmtId="0" fontId="58" fillId="0" borderId="0" xfId="0" applyFont="1" applyAlignment="1">
      <alignment horizontal="center" vertical="center"/>
    </xf>
    <xf numFmtId="0" fontId="61" fillId="12" borderId="24" xfId="306" applyFont="1" applyFill="1" applyBorder="1" applyAlignment="1">
      <alignment horizontal="center" vertical="center"/>
    </xf>
    <xf numFmtId="0" fontId="61" fillId="12" borderId="25" xfId="306" applyFont="1" applyFill="1" applyBorder="1" applyAlignment="1">
      <alignment horizontal="center" vertical="center"/>
    </xf>
    <xf numFmtId="0" fontId="61" fillId="12" borderId="88" xfId="306" applyFont="1" applyFill="1" applyBorder="1" applyAlignment="1">
      <alignment horizontal="center" vertical="center"/>
    </xf>
  </cellXfs>
  <cellStyles count="310">
    <cellStyle name="??" xfId="27"/>
    <cellStyle name="?? [0.00]_PRODUCT DETAIL Q1" xfId="28"/>
    <cellStyle name="?? [0]" xfId="29"/>
    <cellStyle name="???? [0.00]_PRODUCT DETAIL Q1" xfId="32"/>
    <cellStyle name="????_PRODUCT DETAIL Q1" xfId="33"/>
    <cellStyle name="???[0]_Book1" xfId="34"/>
    <cellStyle name="???_95" xfId="31"/>
    <cellStyle name="??_(????)??????" xfId="30"/>
    <cellStyle name="AeE­ [0]_INQUIRY ¿μ¾÷AßAø " xfId="35"/>
    <cellStyle name="AeE­_INQUIRY ¿µ¾÷AßAø " xfId="36"/>
    <cellStyle name="AÞ¸¶ [0]_INQUIRY ¿?¾÷AßAø " xfId="37"/>
    <cellStyle name="AÞ¸¶_INQUIRY ¿?¾÷AßAø " xfId="38"/>
    <cellStyle name="C?AØ_¿?¾÷CoE² " xfId="39"/>
    <cellStyle name="C￥AØ_¿μ¾÷CoE² " xfId="40"/>
    <cellStyle name="Comma" xfId="308" builtinId="3"/>
    <cellStyle name="Comma [0]" xfId="13" builtinId="6"/>
    <cellStyle name="Comma [0] 10" xfId="41"/>
    <cellStyle name="Comma [0] 11" xfId="42"/>
    <cellStyle name="Comma [0] 12" xfId="43"/>
    <cellStyle name="Comma [0] 13" xfId="44"/>
    <cellStyle name="Comma [0] 14" xfId="45"/>
    <cellStyle name="Comma [0] 15" xfId="46"/>
    <cellStyle name="Comma [0] 16" xfId="47"/>
    <cellStyle name="Comma [0] 17" xfId="48"/>
    <cellStyle name="Comma [0] 18" xfId="49"/>
    <cellStyle name="Comma [0] 19" xfId="50"/>
    <cellStyle name="Comma [0] 2" xfId="25"/>
    <cellStyle name="Comma [0] 20" xfId="51"/>
    <cellStyle name="Comma [0] 21" xfId="305"/>
    <cellStyle name="Comma [0] 3" xfId="52"/>
    <cellStyle name="Comma [0] 4" xfId="53"/>
    <cellStyle name="Comma [0] 5" xfId="54"/>
    <cellStyle name="Comma [0] 6" xfId="55"/>
    <cellStyle name="Comma [0] 7" xfId="56"/>
    <cellStyle name="Comma [0] 8" xfId="57"/>
    <cellStyle name="Comma [0] 9" xfId="58"/>
    <cellStyle name="Comma 2" xfId="24"/>
    <cellStyle name="Comma 3" xfId="59"/>
    <cellStyle name="Comma 4" xfId="60"/>
    <cellStyle name="Comma 5" xfId="61"/>
    <cellStyle name="Comma 6" xfId="62"/>
    <cellStyle name="Comma 7" xfId="63"/>
    <cellStyle name="Comma0" xfId="64"/>
    <cellStyle name="Currency [0]" xfId="22" builtinId="7"/>
    <cellStyle name="Currency [0] 2" xfId="304"/>
    <cellStyle name="Currency0" xfId="65"/>
    <cellStyle name="Date" xfId="66"/>
    <cellStyle name="Fixed" xfId="6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Header1" xfId="68"/>
    <cellStyle name="Header2" xfId="69"/>
    <cellStyle name="Heading 1" xfId="1" builtinId="16" customBuiltin="1"/>
    <cellStyle name="Heading 2" xfId="12" builtinId="17" customBuilti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Normal" xfId="0" builtinId="0" customBuiltin="1"/>
    <cellStyle name="Normal - Style1" xfId="70"/>
    <cellStyle name="Normal 2" xfId="23"/>
    <cellStyle name="Normal 2 2" xfId="71"/>
    <cellStyle name="Normal 3" xfId="26"/>
    <cellStyle name="Normal 4" xfId="72"/>
    <cellStyle name="Normal 4_BAC UP MC.0 EDIT.1" xfId="309"/>
    <cellStyle name="Normal 5" xfId="73"/>
    <cellStyle name="Normal 6" xfId="74"/>
    <cellStyle name="Normal 7" xfId="75"/>
    <cellStyle name="Normal 8" xfId="76"/>
    <cellStyle name="Normal 9" xfId="303"/>
    <cellStyle name="Normal_RAB Penawaran" xfId="306"/>
    <cellStyle name="Normal_RAP JALAN PASAMAN 2007" xfId="307"/>
    <cellStyle name="Percent" xfId="302" builtinId="5"/>
    <cellStyle name="Percent 2" xfId="77"/>
    <cellStyle name="Percent 3" xfId="78"/>
    <cellStyle name="T" xfId="79"/>
    <cellStyle name="T_Book1" xfId="80"/>
    <cellStyle name="th" xfId="81"/>
    <cellStyle name="viet" xfId="82"/>
    <cellStyle name="viet2" xfId="83"/>
    <cellStyle name="똿뗦먛귟 [0.00]_PRODUCT DETAIL Q1" xfId="84"/>
    <cellStyle name="똿뗦먛귟_PRODUCT DETAIL Q1" xfId="85"/>
    <cellStyle name="믅됞 [0.00]_PRODUCT DETAIL Q1" xfId="86"/>
    <cellStyle name="믅됞_PRODUCT DETAIL Q1" xfId="87"/>
    <cellStyle name="백분율_95" xfId="88"/>
    <cellStyle name="뷭?_BOOKSHIP" xfId="89"/>
    <cellStyle name="콤마 [0]_1202" xfId="90"/>
    <cellStyle name="콤마_1202" xfId="91"/>
    <cellStyle name="통화 [0]_1202" xfId="92"/>
    <cellStyle name="통화_1202" xfId="93"/>
    <cellStyle name="표준_(정보부문)월별인원계획" xfId="94"/>
    <cellStyle name="一般_Book1" xfId="95"/>
    <cellStyle name="千分位[0]_Book1" xfId="97"/>
    <cellStyle name="千分位_Book1" xfId="96"/>
    <cellStyle name="貨幣 [0]_Book1" xfId="98"/>
    <cellStyle name="貨幣_Book1" xfId="99"/>
  </cellStyles>
  <dxfs count="27">
    <dxf>
      <numFmt numFmtId="164" formatCode="&quot;IDR&quot;#,##0;[Red]\-&quot;IDR&quot;#,##0"/>
      <fill>
        <patternFill patternType="none"/>
      </fill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89" formatCode="[$-409]d\-mmm;@"/>
      <fill>
        <patternFill patternType="none"/>
      </fill>
      <alignment horizontal="center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89" formatCode="[$-409]d\-mmm;@"/>
      <fill>
        <patternFill patternType="none"/>
      </fill>
      <alignment horizontal="center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&quot;IDR&quot;#,##0;[Red]\-&quot;IDR&quot;#,##0"/>
      <fill>
        <patternFill patternType="none"/>
      </fill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8" formatCode="#,##0_ ;[Red]\-#,##0\ "/>
      <fill>
        <patternFill patternType="none"/>
      </fill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general" vertical="bottom" textRotation="0" wrapText="1" indent="0" relativeIndent="255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general" vertical="bottom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4" tint="0.79992065187536243"/>
          <bgColor theme="0" tint="-0.14996795556505021"/>
        </patternFill>
      </fill>
    </dxf>
    <dxf>
      <fill>
        <patternFill patternType="solid">
          <fgColor theme="4" tint="0.79992065187536243"/>
          <bgColor theme="0" tint="-0.14996795556505021"/>
        </patternFill>
      </fill>
    </dxf>
    <dxf>
      <font>
        <b/>
        <color theme="1"/>
      </font>
      <border diagonalUp="0" diagonalDown="0">
        <left/>
        <right/>
        <top style="double">
          <color theme="1"/>
        </top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>
        <bottom style="thin">
          <color theme="1"/>
        </bottom>
      </border>
    </dxf>
    <dxf>
      <font>
        <color theme="1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fill>
        <patternFill patternType="solid">
          <fgColor theme="8" tint="0.79998168889431442"/>
          <bgColor theme="8" tint="0.79998168889431442"/>
        </patternFill>
      </fill>
      <border>
        <bottom style="thin">
          <color theme="8"/>
        </bottom>
      </border>
    </dxf>
    <dxf>
      <font>
        <color theme="0"/>
      </font>
      <fill>
        <patternFill patternType="solid">
          <fgColor theme="8" tint="0.39997558519241921"/>
          <bgColor theme="8" tint="0.39997558519241921"/>
        </patternFill>
      </fill>
      <border>
        <bottom style="thin">
          <color theme="8" tint="0.79998168889431442"/>
        </bottom>
        <horizontal style="thin">
          <color theme="8" tint="0.39997558519241921"/>
        </horizontal>
      </border>
    </dxf>
    <dxf>
      <border>
        <bottom style="thin">
          <color theme="8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8" tint="0.39994506668294322"/>
          <bgColor theme="8" tint="0.79998168889431442"/>
        </patternFill>
      </fill>
    </dxf>
    <dxf>
      <font>
        <b/>
        <color theme="0"/>
      </font>
    </dxf>
    <dxf>
      <font>
        <color theme="0" tint="-4.9989318521683403E-2"/>
      </font>
      <fill>
        <patternFill>
          <bgColor theme="8" tint="0.39994506668294322"/>
        </patternFill>
      </fill>
      <border>
        <left/>
        <right/>
      </border>
    </dxf>
    <dxf>
      <fill>
        <patternFill patternType="solid">
          <fgColor indexed="64"/>
          <bgColor theme="8"/>
        </patternFill>
      </fill>
      <border>
        <top style="thin">
          <color theme="8" tint="-0.249977111117893"/>
        </top>
        <bottom style="thin">
          <color theme="8" tint="-0.249977111117893"/>
        </bottom>
        <horizontal style="thin">
          <color theme="8" tint="-0.249977111117893"/>
        </horizontal>
      </border>
    </dxf>
    <dxf>
      <font>
        <b/>
        <i val="0"/>
        <color theme="1" tint="0.24994659260841701"/>
      </font>
      <border>
        <top style="double">
          <color theme="8" tint="-0.249977111117893"/>
        </top>
      </border>
    </dxf>
    <dxf>
      <font>
        <color theme="0"/>
      </font>
      <fill>
        <patternFill patternType="solid">
          <fgColor theme="8" tint="-0.249977111117893"/>
          <bgColor theme="8" tint="-0.249977111117893"/>
        </patternFill>
      </fill>
      <border>
        <horizontal style="thin">
          <color theme="8" tint="-0.249977111117893"/>
        </horizontal>
      </border>
    </dxf>
    <dxf>
      <font>
        <color theme="1"/>
      </font>
      <border>
        <horizontal style="thin">
          <color theme="8" tint="0.79998168889431442"/>
        </horizontal>
      </border>
    </dxf>
  </dxfs>
  <tableStyles count="2" defaultTableStyle="Household Budget" defaultPivotStyle="PivotStyleLight16">
    <tableStyle name="BudgetReportPivot" table="0" count="13">
      <tableStyleElement type="wholeTable" dxfId="26"/>
      <tableStyleElement type="headerRow" dxfId="25"/>
      <tableStyleElement type="totalRow" dxfId="24"/>
      <tableStyleElement type="firstRowStripe" dxfId="23"/>
      <tableStyleElement type="firstColumnStripe" dxfId="22"/>
      <tableStyleElement type="firstHeaderCell" dxfId="21"/>
      <tableStyleElement type="firstSubtotalRow" dxfId="20"/>
      <tableStyleElement type="secondSubtotalRow" dxfId="19"/>
      <tableStyleElement type="firstColumnSubheading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  <tableStyle name="Household Budget" pivot="0" count="5">
      <tableStyleElement type="wholeTable" dxfId="13"/>
      <tableStyleElement type="headerRow" dxfId="12"/>
      <tableStyleElement type="totalRow" dxfId="11"/>
      <tableStyleElement type="first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0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1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openxmlformats.org/officeDocument/2006/relationships/externalLink" Target="externalLinks/externalLink32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varyColors val="1"/>
        <c:ser>
          <c:idx val="0"/>
          <c:order val="0"/>
          <c:marker>
            <c:symbol val="diamond"/>
            <c:size val="7"/>
          </c:marker>
          <c:dLbls>
            <c:txPr>
              <a:bodyPr rot="0" vert="horz"/>
              <a:lstStyle/>
              <a:p>
                <a:pPr>
                  <a:defRPr sz="800"/>
                </a:pPr>
                <a:endParaRPr lang="en-US"/>
              </a:p>
            </c:txPr>
            <c:dLblPos val="t"/>
            <c:showVal val="1"/>
            <c:showCatName val="1"/>
          </c:dLbls>
          <c:cat>
            <c:numRef>
              <c:f>'Rekap mingguan'!$B$7:$B$16</c:f>
              <c:numCache>
                <c:formatCode>[$-409]d\-mmm\-yy;@</c:formatCode>
                <c:ptCount val="10"/>
                <c:pt idx="0">
                  <c:v>42108</c:v>
                </c:pt>
                <c:pt idx="1">
                  <c:v>42121</c:v>
                </c:pt>
                <c:pt idx="2">
                  <c:v>42135</c:v>
                </c:pt>
                <c:pt idx="3">
                  <c:v>42149</c:v>
                </c:pt>
                <c:pt idx="4">
                  <c:v>42163</c:v>
                </c:pt>
                <c:pt idx="5">
                  <c:v>42177</c:v>
                </c:pt>
                <c:pt idx="6">
                  <c:v>42191</c:v>
                </c:pt>
                <c:pt idx="7">
                  <c:v>42212</c:v>
                </c:pt>
                <c:pt idx="8">
                  <c:v>42226</c:v>
                </c:pt>
                <c:pt idx="9">
                  <c:v>42240</c:v>
                </c:pt>
              </c:numCache>
            </c:numRef>
          </c:cat>
          <c:val>
            <c:numRef>
              <c:f>'Rekap mingguan'!$G$7:$G$18</c:f>
              <c:numCache>
                <c:formatCode>0.00%</c:formatCode>
                <c:ptCount val="12"/>
                <c:pt idx="0">
                  <c:v>5.0548571801236697E-3</c:v>
                </c:pt>
                <c:pt idx="1">
                  <c:v>4.0958631165713175E-2</c:v>
                </c:pt>
                <c:pt idx="2">
                  <c:v>0.13850180364774042</c:v>
                </c:pt>
                <c:pt idx="3">
                  <c:v>0.33545496491680121</c:v>
                </c:pt>
                <c:pt idx="4">
                  <c:v>0.52007485904291284</c:v>
                </c:pt>
                <c:pt idx="5">
                  <c:v>0.69029766622211186</c:v>
                </c:pt>
                <c:pt idx="6">
                  <c:v>0.72636480267298498</c:v>
                </c:pt>
                <c:pt idx="7">
                  <c:v>0.79849907557473132</c:v>
                </c:pt>
                <c:pt idx="8">
                  <c:v>0.86340636365028234</c:v>
                </c:pt>
                <c:pt idx="9">
                  <c:v>0.90867959299809353</c:v>
                </c:pt>
                <c:pt idx="10">
                  <c:v>0.96616342885045992</c:v>
                </c:pt>
                <c:pt idx="11">
                  <c:v>0.99999999999999989</c:v>
                </c:pt>
              </c:numCache>
            </c:numRef>
          </c:val>
        </c:ser>
        <c:marker val="1"/>
        <c:axId val="40026496"/>
        <c:axId val="40028032"/>
      </c:lineChart>
      <c:dateAx>
        <c:axId val="40026496"/>
        <c:scaling>
          <c:orientation val="minMax"/>
          <c:min val="42107"/>
        </c:scaling>
        <c:axPos val="b"/>
        <c:majorGridlines/>
        <c:numFmt formatCode="[$-409]dd\-mmm\-yy;@" sourceLinked="0"/>
        <c:tickLblPos val="low"/>
        <c:crossAx val="40028032"/>
        <c:crosses val="autoZero"/>
        <c:auto val="1"/>
        <c:lblOffset val="100"/>
        <c:baseTimeUnit val="days"/>
        <c:majorUnit val="7"/>
        <c:majorTimeUnit val="days"/>
      </c:dateAx>
      <c:valAx>
        <c:axId val="40028032"/>
        <c:scaling>
          <c:orientation val="minMax"/>
          <c:max val="1"/>
          <c:min val="0"/>
        </c:scaling>
        <c:axPos val="l"/>
        <c:majorGridlines/>
        <c:numFmt formatCode="0%" sourceLinked="0"/>
        <c:tickLblPos val="nextTo"/>
        <c:crossAx val="40026496"/>
        <c:crossesAt val="1"/>
        <c:crossBetween val="between"/>
        <c:majorUnit val="0.1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139411</xdr:colOff>
      <xdr:row>24</xdr:row>
      <xdr:rowOff>168857</xdr:rowOff>
    </xdr:from>
    <xdr:to>
      <xdr:col>8</xdr:col>
      <xdr:colOff>1149061</xdr:colOff>
      <xdr:row>33</xdr:row>
      <xdr:rowOff>59673</xdr:rowOff>
    </xdr:to>
    <xdr:grpSp>
      <xdr:nvGrpSpPr>
        <xdr:cNvPr id="5" name="Group 4"/>
        <xdr:cNvGrpSpPr/>
      </xdr:nvGrpSpPr>
      <xdr:grpSpPr>
        <a:xfrm>
          <a:off x="511752" y="5442243"/>
          <a:ext cx="10084377" cy="1683248"/>
          <a:chOff x="478439" y="5429250"/>
          <a:chExt cx="4788181" cy="1156023"/>
        </a:xfrm>
      </xdr:grpSpPr>
      <xdr:sp macro="" textlink="">
        <xdr:nvSpPr>
          <xdr:cNvPr id="2" name="Rounded Rectangle 1"/>
          <xdr:cNvSpPr/>
        </xdr:nvSpPr>
        <xdr:spPr>
          <a:xfrm>
            <a:off x="478439" y="5429250"/>
            <a:ext cx="1524000" cy="1143000"/>
          </a:xfrm>
          <a:prstGeom prst="roundRect">
            <a:avLst/>
          </a:prstGeom>
          <a:noFill/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Diajukan</a:t>
            </a:r>
          </a:p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Site manager</a:t>
            </a: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r>
              <a:rPr lang="en-US" sz="1100" u="sng">
                <a:solidFill>
                  <a:sysClr val="windowText" lastClr="000000"/>
                </a:solidFill>
              </a:rPr>
              <a:t>RISDIANTO</a:t>
            </a:r>
          </a:p>
        </xdr:txBody>
      </xdr:sp>
      <xdr:sp macro="" textlink="">
        <xdr:nvSpPr>
          <xdr:cNvPr id="3" name="Rounded Rectangle 2"/>
          <xdr:cNvSpPr/>
        </xdr:nvSpPr>
        <xdr:spPr>
          <a:xfrm>
            <a:off x="2066926" y="5438775"/>
            <a:ext cx="1524000" cy="1143000"/>
          </a:xfrm>
          <a:prstGeom prst="roundRect">
            <a:avLst/>
          </a:prstGeom>
          <a:noFill/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Diketahui</a:t>
            </a:r>
          </a:p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Ka.Cab Sumbar</a:t>
            </a: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r>
              <a:rPr lang="en-US" sz="1100" u="sng">
                <a:solidFill>
                  <a:sysClr val="windowText" lastClr="000000"/>
                </a:solidFill>
              </a:rPr>
              <a:t>MULYADI</a:t>
            </a:r>
          </a:p>
        </xdr:txBody>
      </xdr:sp>
      <xdr:sp macro="" textlink="">
        <xdr:nvSpPr>
          <xdr:cNvPr id="4" name="Rounded Rectangle 3"/>
          <xdr:cNvSpPr/>
        </xdr:nvSpPr>
        <xdr:spPr>
          <a:xfrm>
            <a:off x="3742620" y="5442273"/>
            <a:ext cx="1524000" cy="1143000"/>
          </a:xfrm>
          <a:prstGeom prst="roundRect">
            <a:avLst/>
          </a:prstGeom>
          <a:noFill/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Disetujui</a:t>
            </a:r>
          </a:p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Project Controller</a:t>
            </a: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r>
              <a:rPr lang="en-US" sz="1100" u="sng">
                <a:solidFill>
                  <a:sysClr val="windowText" lastClr="000000"/>
                </a:solidFill>
              </a:rPr>
              <a:t>Ir.</a:t>
            </a:r>
            <a:r>
              <a:rPr lang="en-US" sz="1100" u="sng" baseline="0">
                <a:solidFill>
                  <a:sysClr val="windowText" lastClr="000000"/>
                </a:solidFill>
              </a:rPr>
              <a:t> Idris Hamid</a:t>
            </a:r>
            <a:endParaRPr lang="en-US" sz="1100" u="sng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20</xdr:row>
      <xdr:rowOff>190499</xdr:rowOff>
    </xdr:from>
    <xdr:to>
      <xdr:col>4</xdr:col>
      <xdr:colOff>1152524</xdr:colOff>
      <xdr:row>36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38100</xdr:rowOff>
    </xdr:from>
    <xdr:to>
      <xdr:col>4</xdr:col>
      <xdr:colOff>1068658</xdr:colOff>
      <xdr:row>47</xdr:row>
      <xdr:rowOff>116158</xdr:rowOff>
    </xdr:to>
    <xdr:grpSp>
      <xdr:nvGrpSpPr>
        <xdr:cNvPr id="3" name="Group 2"/>
        <xdr:cNvGrpSpPr/>
      </xdr:nvGrpSpPr>
      <xdr:grpSpPr>
        <a:xfrm>
          <a:off x="0" y="7483862"/>
          <a:ext cx="4901890" cy="1855284"/>
          <a:chOff x="478439" y="5429250"/>
          <a:chExt cx="4788181" cy="1156023"/>
        </a:xfrm>
      </xdr:grpSpPr>
      <xdr:sp macro="" textlink="">
        <xdr:nvSpPr>
          <xdr:cNvPr id="4" name="Rounded Rectangle 3"/>
          <xdr:cNvSpPr/>
        </xdr:nvSpPr>
        <xdr:spPr>
          <a:xfrm>
            <a:off x="478439" y="5429250"/>
            <a:ext cx="1524000" cy="1143000"/>
          </a:xfrm>
          <a:prstGeom prst="roundRect">
            <a:avLst/>
          </a:prstGeom>
          <a:noFill/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Diajukan</a:t>
            </a:r>
          </a:p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Site manager</a:t>
            </a: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r>
              <a:rPr lang="en-US" sz="1100" u="sng">
                <a:solidFill>
                  <a:sysClr val="windowText" lastClr="000000"/>
                </a:solidFill>
              </a:rPr>
              <a:t>RISDIANTO</a:t>
            </a:r>
          </a:p>
        </xdr:txBody>
      </xdr:sp>
      <xdr:sp macro="" textlink="">
        <xdr:nvSpPr>
          <xdr:cNvPr id="5" name="Rounded Rectangle 4"/>
          <xdr:cNvSpPr/>
        </xdr:nvSpPr>
        <xdr:spPr>
          <a:xfrm>
            <a:off x="2066926" y="5438775"/>
            <a:ext cx="1524000" cy="1143000"/>
          </a:xfrm>
          <a:prstGeom prst="roundRect">
            <a:avLst/>
          </a:prstGeom>
          <a:noFill/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Diketahui</a:t>
            </a:r>
          </a:p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Ka.Cab Sumbar</a:t>
            </a: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r>
              <a:rPr lang="en-US" sz="1100" u="sng">
                <a:solidFill>
                  <a:sysClr val="windowText" lastClr="000000"/>
                </a:solidFill>
              </a:rPr>
              <a:t>MULYADI</a:t>
            </a:r>
          </a:p>
        </xdr:txBody>
      </xdr:sp>
      <xdr:sp macro="" textlink="">
        <xdr:nvSpPr>
          <xdr:cNvPr id="6" name="Rounded Rectangle 5"/>
          <xdr:cNvSpPr/>
        </xdr:nvSpPr>
        <xdr:spPr>
          <a:xfrm>
            <a:off x="3742620" y="5442273"/>
            <a:ext cx="1524000" cy="1143000"/>
          </a:xfrm>
          <a:prstGeom prst="roundRect">
            <a:avLst/>
          </a:prstGeom>
          <a:noFill/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Disetujui</a:t>
            </a:r>
          </a:p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Project Controller</a:t>
            </a: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endParaRPr lang="en-US" sz="1100">
              <a:solidFill>
                <a:sysClr val="windowText" lastClr="000000"/>
              </a:solidFill>
            </a:endParaRPr>
          </a:p>
          <a:p>
            <a:pPr algn="ctr"/>
            <a:r>
              <a:rPr lang="en-US" sz="1100" u="sng">
                <a:solidFill>
                  <a:sysClr val="windowText" lastClr="000000"/>
                </a:solidFill>
              </a:rPr>
              <a:t>Ir.</a:t>
            </a:r>
            <a:r>
              <a:rPr lang="en-US" sz="1100" u="sng" baseline="0">
                <a:solidFill>
                  <a:sysClr val="windowText" lastClr="000000"/>
                </a:solidFill>
              </a:rPr>
              <a:t> Idris Hamid</a:t>
            </a:r>
            <a:endParaRPr lang="en-US" sz="1100" u="sng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/FIRMAN/KODYA-BRR%202006/KODYA-2006/MANDIRI-Lami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/PRO%202005/MISC/Congviec/Ta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/PERENC%202011/Pasamanrevisi/design%203/OE%202011/RAB%20LAMPU%20JL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/Pasaman%20oke/design%203/OE%202011/RAB%20LAMPU%20JL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/A%2083%20NX/revisi%205/RAB%20JLN%20GELORA%20TERBARU%20X/Copy%20of%201-BOQ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H/CHIK%20DITIRO%2080/PENAWARAN/PNR%20JEMBATAN/SCEDUL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H/CHIK%20DITIRO%2080/JL.%20TERUSAN%20P.%20NYAK%20MAKAM/PT.%20AYU%20-%20JL.%20P.%20NYAK%20MAKAM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/ABENX/AKU/RAGorbaruB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/Documents%20and%20Settings/Acer/Application%20Data/Microsoft/Excel/PT.%20ANANDA/Pasaman%20Master%20-%20Copy/1-BOQ-B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E/Tender%20Pasaman/TKDN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H/DOKUMEN%20RUKOH/New%20Folder/Analisa%20harga%20satuan%20untuk%20susoh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/Perenc.Gub/BESTEK/TSCEDULE%20GUB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H/HPJI%20FILE-BACK-UP/3-DIV1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F/FIRMAN/KODYA-BRR%202006/HPJI%20FILE/3-DIV1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E/Data%20BM/MC%20~%200%202008/MC%20-%200%20Psr%20Rao/Tawaran-Pasar%20Rao%20~SKD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H/DOKUMEN%20RUKOH/New%20Folder/Documents%20and%20Settings/Portege/My%20Documents/DATA%20adi/DOKUMEN%20SUSOH/BoQ/RAB%20TAPAK%20TUA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E/ABENX/AKU/My%20Data/EDWIN/KBBAHA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H/DATA%20DARI%20AWI/Oe%202001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E/Lu_thanh_binh/d/Luu_Tru/Ltb_ktkh/DZ220KV_Dau_Noi_sau_tram_500kV_Ha_Tinh/Gia_thau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E/MISC/DO-HUONG/GT-BO/TKTC10-8/phong%20nen/DT-THL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E/Tender%20Pasaman/PAHS2006/Copy%20of%20PAHS2006%20R2%20draft(MIS)new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A/Documents%20and%20Settings/Dedek/Waduk%20Keulil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/Pasaman%20oke/design%203/PERENCANAAN%20SANITASI/Book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E/Tender%20Pasaman/Divisi%2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E/Tender%20Pasaman/Divisi%204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E/Tender%20Pasaman/Divisi%20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%20PU%20Pasaman/OE/3-DIV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E/Pasaman%20oke/design%203/OE%202011/1-BOQ%20Jln%20Gelor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H/DOKUMEN%20RUKOH/New%20Folder/Penawaran%20Berkat%20J%20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E/PRO%202005/MISC/Hoai/B-CAOQ~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H/DOKUMEN%20RUKOH/New%20Folder/Pile%20Susoh/BOQ%20SUSOH/Lake%20Toba%2011%20June%202006/P%20Irfan/Schedule%203/Schedule%20Alt%20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E/PRO%202005/MISC/DO-HUONG/GT-BO/TKTC10-8/phong%20nen/DT-THL7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4%20Proyek%202015/1%20Lubuk%20Sikaping%20-%20Talu/4%20MC%20NOL%20MALAMPAH/Penambahan%20Panjang/1%20BACK%20UP%20MC.0%20LBS%20-%20TAL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/Pen%20Jalan%20Ananda/Pen%20Jalan%20Ananda2/PT.%20ANANDA/RAB%20Penawaran%20Pasaman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Base%20Project%202015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%20soeta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yy\budget%20MDK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rap%20jal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/Tender%20Pasaman/Project%20PU%20Pasaman/OE/RAB%20LAMPU%20JL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/Ir/rab%20jalan/5-ALA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/MISC/Congviec/T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H/1-BOQ%20%20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/Documents%20and%20Settings/Acer/Application%20Data/Microsoft/Excel/PT.%20ANANDA/Pasaman%20Master%20-%20Copy/5-ALA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Sheet3"/>
      <sheetName val="Sheet5"/>
      <sheetName val="Sheet2"/>
      <sheetName val="Sheet1"/>
      <sheetName val="A"/>
    </sheetNames>
    <sheetDataSet>
      <sheetData sheetId="0"/>
      <sheetData sheetId="1"/>
      <sheetData sheetId="2"/>
      <sheetData sheetId="3"/>
      <sheetData sheetId="4"/>
      <sheetData sheetId="5">
        <row r="1">
          <cell r="Q1" t="str">
            <v>LAMPIRAN 2(a)  PENAWARAN</v>
          </cell>
          <cell r="AP1" t="str">
            <v>REKAPITULASI</v>
          </cell>
        </row>
        <row r="2">
          <cell r="Q2" t="str">
            <v>( Lampiran ini dipergunakan semata-mata untuk evaluasi penawaran )</v>
          </cell>
          <cell r="AG2" t="str">
            <v>DAFTAR KUANTITAS DAN HARGA</v>
          </cell>
          <cell r="AP2" t="str">
            <v>DAFTAR KUANTITAS DAN HARGA</v>
          </cell>
        </row>
        <row r="4">
          <cell r="Q4" t="str">
            <v>DAFTAR HARGA SATUAN UPAH</v>
          </cell>
          <cell r="AG4" t="str">
            <v>PENAWAR</v>
          </cell>
          <cell r="AH4" t="str">
            <v>:</v>
          </cell>
          <cell r="AI4" t="str">
            <v>CV. MANDIRI KARYA UTAMA</v>
          </cell>
        </row>
        <row r="5">
          <cell r="AG5" t="str">
            <v>PROYEK</v>
          </cell>
          <cell r="AH5" t="str">
            <v>:</v>
          </cell>
          <cell r="AI5" t="str">
            <v>PENINGKATAN JALAN DAN PENGGANTIAN JEMBATAN DPU CAB. VI ACEH BARAT</v>
          </cell>
          <cell r="AP5" t="str">
            <v>PENAWAR</v>
          </cell>
          <cell r="AQ5" t="str">
            <v>:</v>
          </cell>
          <cell r="AR5" t="str">
            <v>CV. MANDIRI KARYA UTAMA</v>
          </cell>
        </row>
        <row r="6">
          <cell r="Q6" t="str">
            <v>PROYEK</v>
          </cell>
          <cell r="R6" t="str">
            <v>:</v>
          </cell>
          <cell r="S6" t="str">
            <v>PENINGKATAN JALAN DAN PENGGANTIAN JEMBATAN DPU CAB. VI ACEH BARAT</v>
          </cell>
          <cell r="AG6" t="str">
            <v>PEKERJAAN</v>
          </cell>
          <cell r="AH6" t="str">
            <v>:</v>
          </cell>
          <cell r="AI6" t="str">
            <v>PENINGKATAN JALAN KUALA TUHA - LAMIE, KM. 45+000 s/d 47+000</v>
          </cell>
          <cell r="AP6" t="str">
            <v>PROYEK</v>
          </cell>
          <cell r="AQ6" t="str">
            <v>:</v>
          </cell>
          <cell r="AR6" t="str">
            <v>PENINGKATAN JALAN DAN PENGGANTIAN JEMBATAN DPU CAB. VI ACEH BARAT</v>
          </cell>
        </row>
        <row r="7">
          <cell r="W7" t="str">
            <v>NAMA PENAWAR</v>
          </cell>
          <cell r="Y7" t="str">
            <v>:</v>
          </cell>
          <cell r="Z7" t="str">
            <v>CV. MANDIRI KARYA UTAMA</v>
          </cell>
          <cell r="AG7" t="str">
            <v>PROPINSI</v>
          </cell>
          <cell r="AH7" t="str">
            <v>:</v>
          </cell>
          <cell r="AI7" t="str">
            <v>DAERAH ISTIMEWA ACEH</v>
          </cell>
          <cell r="AP7" t="str">
            <v>PEKERJAAN</v>
          </cell>
          <cell r="AQ7" t="str">
            <v>:</v>
          </cell>
          <cell r="AR7" t="str">
            <v>PENINGKATAN JALAN KUALA TUHA - LAMIE, KM. 45+000 s/d 47+000</v>
          </cell>
        </row>
        <row r="8">
          <cell r="Q8" t="str">
            <v>PEKERJAAN</v>
          </cell>
          <cell r="R8" t="str">
            <v>:</v>
          </cell>
          <cell r="S8" t="str">
            <v>PENINGKATAN JALAN KUALA TUHA - LAMIE, KM. 45+000 s/d 47+000</v>
          </cell>
          <cell r="W8" t="str">
            <v>PROYEK</v>
          </cell>
          <cell r="Y8" t="str">
            <v>:</v>
          </cell>
          <cell r="Z8" t="str">
            <v>PENINGKATAN JALAN DAN PENGGANTIAN JEMBATAN DPU CAB. VI ACEH BARAT</v>
          </cell>
          <cell r="AG8" t="str">
            <v>LOKASI</v>
          </cell>
          <cell r="AH8" t="str">
            <v>:</v>
          </cell>
          <cell r="AI8" t="str">
            <v>KABUPATEN ACEH BARAT</v>
          </cell>
          <cell r="AP8" t="str">
            <v>PROPINSI</v>
          </cell>
          <cell r="AQ8" t="str">
            <v>:</v>
          </cell>
          <cell r="AR8" t="str">
            <v>DAERAH ISTIMEWA ACEH</v>
          </cell>
        </row>
        <row r="9">
          <cell r="W9" t="str">
            <v>NO. MATA PEMBAYARAN</v>
          </cell>
          <cell r="Y9" t="str">
            <v>:</v>
          </cell>
          <cell r="Z9" t="str">
            <v>1.2</v>
          </cell>
          <cell r="AG9" t="str">
            <v>TH. ANGG.</v>
          </cell>
          <cell r="AH9" t="str">
            <v>:</v>
          </cell>
          <cell r="AI9">
            <v>2000</v>
          </cell>
          <cell r="AP9" t="str">
            <v>LOKASI</v>
          </cell>
          <cell r="AQ9" t="str">
            <v>:</v>
          </cell>
          <cell r="AR9" t="str">
            <v>KABUPATEN ACEH BARAT</v>
          </cell>
        </row>
        <row r="10">
          <cell r="U10" t="str">
            <v>HARGA</v>
          </cell>
          <cell r="W10" t="str">
            <v>JENIS PEKERJAAN</v>
          </cell>
          <cell r="Y10" t="str">
            <v>:</v>
          </cell>
          <cell r="Z10" t="str">
            <v>MOBILISASI</v>
          </cell>
          <cell r="AP10" t="str">
            <v>TH. ANGG.</v>
          </cell>
          <cell r="AQ10" t="str">
            <v>:</v>
          </cell>
          <cell r="AR10">
            <v>2000</v>
          </cell>
        </row>
        <row r="11">
          <cell r="Q11" t="str">
            <v>NO.</v>
          </cell>
          <cell r="R11" t="str">
            <v>U R A I A N</v>
          </cell>
          <cell r="T11" t="str">
            <v>SATUAN</v>
          </cell>
          <cell r="U11" t="str">
            <v>SATUAN</v>
          </cell>
          <cell r="W11" t="str">
            <v>SATUAN PEKERJAAN</v>
          </cell>
          <cell r="Y11" t="str">
            <v>:</v>
          </cell>
          <cell r="Z11" t="str">
            <v>LUMP SUM</v>
          </cell>
          <cell r="AG11" t="str">
            <v>MATA</v>
          </cell>
          <cell r="AL11" t="str">
            <v>HARGA</v>
          </cell>
          <cell r="AM11" t="str">
            <v>JUMLAH</v>
          </cell>
        </row>
        <row r="12">
          <cell r="U12" t="str">
            <v>(Rp.)</v>
          </cell>
          <cell r="W12" t="str">
            <v>PRODUKSI HARIAN/JAM</v>
          </cell>
          <cell r="Y12" t="str">
            <v>:</v>
          </cell>
          <cell r="AG12" t="str">
            <v>PEMBA-</v>
          </cell>
          <cell r="AI12" t="str">
            <v>U R A I A N</v>
          </cell>
          <cell r="AJ12" t="str">
            <v>SATUAN</v>
          </cell>
          <cell r="AK12" t="str">
            <v>PERKIRAAN</v>
          </cell>
          <cell r="AL12" t="str">
            <v>SATUAN</v>
          </cell>
          <cell r="AM12" t="str">
            <v>HARGA-HARGA</v>
          </cell>
        </row>
        <row r="13">
          <cell r="AG13" t="str">
            <v>YARAN</v>
          </cell>
          <cell r="AK13" t="str">
            <v>KUANTITAS</v>
          </cell>
          <cell r="AL13" t="str">
            <v>( Rp.)</v>
          </cell>
          <cell r="AM13" t="str">
            <v>PENAWARAN (Rp)</v>
          </cell>
          <cell r="AP13" t="str">
            <v>NO</v>
          </cell>
          <cell r="AR13" t="str">
            <v>U R A I A N      P E K E R J A A N</v>
          </cell>
        </row>
        <row r="14">
          <cell r="AC14" t="str">
            <v>HARGA</v>
          </cell>
          <cell r="AD14" t="str">
            <v>JUMLAH</v>
          </cell>
          <cell r="AG14" t="str">
            <v>a</v>
          </cell>
          <cell r="AI14" t="str">
            <v>b</v>
          </cell>
          <cell r="AJ14" t="str">
            <v>c</v>
          </cell>
          <cell r="AK14" t="str">
            <v>d</v>
          </cell>
          <cell r="AL14" t="str">
            <v>e</v>
          </cell>
          <cell r="AM14" t="str">
            <v>f = (d x e)</v>
          </cell>
          <cell r="AP14" t="str">
            <v>BAB</v>
          </cell>
        </row>
        <row r="15">
          <cell r="Q15" t="str">
            <v>1.</v>
          </cell>
          <cell r="R15" t="str">
            <v>Pekerja</v>
          </cell>
          <cell r="T15" t="str">
            <v>Jam</v>
          </cell>
          <cell r="U15">
            <v>1700</v>
          </cell>
          <cell r="W15" t="str">
            <v>NO</v>
          </cell>
          <cell r="X15" t="str">
            <v>U  R  A  I  A  N</v>
          </cell>
          <cell r="AA15" t="str">
            <v>SATUAN</v>
          </cell>
          <cell r="AB15" t="str">
            <v>KUANTITAS</v>
          </cell>
          <cell r="AC15" t="str">
            <v>SATUAN</v>
          </cell>
          <cell r="AD15" t="str">
            <v>HARGA</v>
          </cell>
        </row>
        <row r="16">
          <cell r="Q16" t="str">
            <v>2.</v>
          </cell>
          <cell r="R16" t="str">
            <v>Tukang</v>
          </cell>
          <cell r="T16" t="str">
            <v>Jam</v>
          </cell>
          <cell r="U16">
            <v>1900</v>
          </cell>
          <cell r="AC16" t="str">
            <v>(Rp.)</v>
          </cell>
          <cell r="AD16" t="str">
            <v>(Rp.)</v>
          </cell>
          <cell r="AG16" t="str">
            <v>BAB. 1</v>
          </cell>
          <cell r="AI16" t="str">
            <v xml:space="preserve">  U  M  U  M</v>
          </cell>
        </row>
        <row r="17">
          <cell r="Q17" t="str">
            <v>3.</v>
          </cell>
          <cell r="R17" t="str">
            <v>Kepala Tukang</v>
          </cell>
          <cell r="T17" t="str">
            <v>Jam</v>
          </cell>
          <cell r="U17">
            <v>2150</v>
          </cell>
          <cell r="AP17" t="str">
            <v>1.</v>
          </cell>
          <cell r="AR17" t="str">
            <v xml:space="preserve">     U M U M</v>
          </cell>
        </row>
        <row r="18">
          <cell r="Q18" t="str">
            <v>4.</v>
          </cell>
          <cell r="R18" t="str">
            <v>Mandor</v>
          </cell>
          <cell r="T18" t="str">
            <v>Jam</v>
          </cell>
          <cell r="U18">
            <v>1900</v>
          </cell>
          <cell r="W18" t="str">
            <v>A.</v>
          </cell>
          <cell r="X18" t="str">
            <v xml:space="preserve">  Pembelian atau sewa tanah</v>
          </cell>
          <cell r="AA18" t="str">
            <v>M2</v>
          </cell>
          <cell r="AG18" t="str">
            <v>1.2</v>
          </cell>
          <cell r="AI18" t="str">
            <v xml:space="preserve">  Mobilisasi</v>
          </cell>
          <cell r="AJ18" t="str">
            <v>Ls</v>
          </cell>
          <cell r="AK18">
            <v>1</v>
          </cell>
          <cell r="AL18">
            <v>10800000</v>
          </cell>
          <cell r="AM18">
            <v>10800000</v>
          </cell>
        </row>
        <row r="19">
          <cell r="Q19" t="str">
            <v>5.</v>
          </cell>
          <cell r="R19" t="str">
            <v>Operator</v>
          </cell>
          <cell r="T19" t="str">
            <v>Jam</v>
          </cell>
          <cell r="U19">
            <v>4285</v>
          </cell>
          <cell r="AP19" t="str">
            <v>2.</v>
          </cell>
          <cell r="AR19" t="str">
            <v xml:space="preserve">     D R A I N A S E</v>
          </cell>
        </row>
        <row r="20">
          <cell r="Q20" t="str">
            <v>6.</v>
          </cell>
          <cell r="R20" t="str">
            <v>Pembantu Operator</v>
          </cell>
          <cell r="T20" t="str">
            <v>Jam</v>
          </cell>
          <cell r="U20">
            <v>2850</v>
          </cell>
        </row>
        <row r="21">
          <cell r="Q21" t="str">
            <v>7.</v>
          </cell>
          <cell r="R21" t="str">
            <v>Sopir/Driver</v>
          </cell>
          <cell r="T21" t="str">
            <v>Jam</v>
          </cell>
          <cell r="U21">
            <v>4285</v>
          </cell>
          <cell r="W21" t="str">
            <v>B.</v>
          </cell>
          <cell r="X21" t="str">
            <v xml:space="preserve">  Peralatan.</v>
          </cell>
          <cell r="AP21" t="str">
            <v>3.</v>
          </cell>
          <cell r="AR21" t="str">
            <v xml:space="preserve">     PEKERJAAN TANAH</v>
          </cell>
        </row>
        <row r="22">
          <cell r="Q22" t="str">
            <v>8.</v>
          </cell>
          <cell r="R22" t="str">
            <v>Pembantu Sopir/Driver</v>
          </cell>
          <cell r="T22" t="str">
            <v>Jam</v>
          </cell>
          <cell r="U22">
            <v>2850</v>
          </cell>
          <cell r="X22" t="str">
            <v xml:space="preserve">  Sesuai Lampiran 2(a)-2</v>
          </cell>
          <cell r="AA22" t="str">
            <v>Ls</v>
          </cell>
          <cell r="AB22">
            <v>1</v>
          </cell>
          <cell r="AC22">
            <v>3800000</v>
          </cell>
          <cell r="AD22">
            <v>3800000</v>
          </cell>
          <cell r="AI22" t="str">
            <v xml:space="preserve">  Sub Total Harga Bab. 1 ( Dipindahkan ke Rekapitulasi Daftar Kuantitas dan Harga )</v>
          </cell>
          <cell r="AM22">
            <v>10800000</v>
          </cell>
        </row>
        <row r="23">
          <cell r="Q23" t="str">
            <v>9.</v>
          </cell>
          <cell r="R23" t="str">
            <v>Mekanik</v>
          </cell>
          <cell r="T23" t="str">
            <v>Jam</v>
          </cell>
          <cell r="U23">
            <v>4000</v>
          </cell>
          <cell r="AP23" t="str">
            <v>4.</v>
          </cell>
          <cell r="AR23" t="str">
            <v xml:space="preserve">     BAHU JALAN</v>
          </cell>
        </row>
        <row r="25">
          <cell r="W25" t="str">
            <v>C.</v>
          </cell>
          <cell r="X25" t="str">
            <v xml:space="preserve">  Fasilitas Kontraktor.</v>
          </cell>
          <cell r="AG25" t="str">
            <v>BAB. 2</v>
          </cell>
          <cell r="AI25" t="str">
            <v xml:space="preserve">  DRAINASE</v>
          </cell>
          <cell r="AP25" t="str">
            <v>5.</v>
          </cell>
          <cell r="AR25" t="str">
            <v xml:space="preserve">     PERKERASAN BERBUTIR</v>
          </cell>
        </row>
        <row r="26">
          <cell r="W26" t="str">
            <v>1.</v>
          </cell>
          <cell r="X26" t="str">
            <v xml:space="preserve">  Base Camp</v>
          </cell>
          <cell r="AA26" t="str">
            <v>Ls</v>
          </cell>
          <cell r="AB26">
            <v>1</v>
          </cell>
          <cell r="AC26">
            <v>2000000</v>
          </cell>
          <cell r="AD26">
            <v>2000000</v>
          </cell>
        </row>
        <row r="27">
          <cell r="W27" t="str">
            <v>2.</v>
          </cell>
          <cell r="X27" t="str">
            <v xml:space="preserve">  Kantor</v>
          </cell>
          <cell r="AA27" t="str">
            <v>Ls</v>
          </cell>
          <cell r="AB27">
            <v>1</v>
          </cell>
          <cell r="AC27">
            <v>2000000</v>
          </cell>
          <cell r="AD27">
            <v>2000000</v>
          </cell>
          <cell r="AG27" t="str">
            <v>2.1 (1)</v>
          </cell>
          <cell r="AI27" t="str">
            <v xml:space="preserve">  Pekerjaan Galian untuk selokan Drainase &amp; </v>
          </cell>
          <cell r="AP27" t="str">
            <v>6.</v>
          </cell>
          <cell r="AR27" t="str">
            <v xml:space="preserve">     PERKERASAN ASPAL</v>
          </cell>
        </row>
        <row r="28">
          <cell r="W28" t="str">
            <v>3.</v>
          </cell>
          <cell r="X28" t="str">
            <v xml:space="preserve">  Barak</v>
          </cell>
          <cell r="AA28" t="str">
            <v>M2</v>
          </cell>
          <cell r="AI28" t="str">
            <v xml:space="preserve">  Saluran Air</v>
          </cell>
          <cell r="AJ28" t="str">
            <v>M3</v>
          </cell>
          <cell r="AK28">
            <v>1500</v>
          </cell>
          <cell r="AL28">
            <v>6565</v>
          </cell>
          <cell r="AM28">
            <v>9847500</v>
          </cell>
        </row>
        <row r="29">
          <cell r="W29" t="str">
            <v>4.</v>
          </cell>
          <cell r="X29" t="str">
            <v xml:space="preserve">  Workshop/Bengkel</v>
          </cell>
          <cell r="AA29" t="str">
            <v>M2</v>
          </cell>
          <cell r="AP29" t="str">
            <v>7.</v>
          </cell>
          <cell r="AR29" t="str">
            <v xml:space="preserve">     PEKERJAAN STRUKTUR</v>
          </cell>
        </row>
        <row r="30">
          <cell r="W30" t="str">
            <v>5.</v>
          </cell>
          <cell r="X30" t="str">
            <v xml:space="preserve">  Gudang dan lain-lain</v>
          </cell>
          <cell r="AA30" t="str">
            <v>M2</v>
          </cell>
          <cell r="AG30" t="str">
            <v>2.2</v>
          </cell>
          <cell r="AI30" t="str">
            <v xml:space="preserve">  Pekerjaan Pasangan batu dengan Mortal</v>
          </cell>
          <cell r="AJ30" t="str">
            <v>M3</v>
          </cell>
        </row>
        <row r="31">
          <cell r="AP31" t="str">
            <v>8.</v>
          </cell>
          <cell r="AR31" t="str">
            <v xml:space="preserve">     PERKUATAN DAN PEKERJAAN MINOR</v>
          </cell>
        </row>
        <row r="32">
          <cell r="AG32" t="str">
            <v>2.3 (1)</v>
          </cell>
          <cell r="AI32" t="str">
            <v xml:space="preserve">  Gorong-gorong Pipa beton bertulang</v>
          </cell>
          <cell r="AJ32" t="str">
            <v>M'</v>
          </cell>
        </row>
        <row r="33">
          <cell r="W33" t="str">
            <v>D.</v>
          </cell>
          <cell r="X33" t="str">
            <v xml:space="preserve">  Fasilitas Laboratorium dan Layanan.</v>
          </cell>
          <cell r="AI33" t="str">
            <v xml:space="preserve">  diameter &lt; 45 cm</v>
          </cell>
          <cell r="AP33" t="str">
            <v>9.</v>
          </cell>
          <cell r="AR33" t="str">
            <v xml:space="preserve">     PEKERJAAN HARIAN</v>
          </cell>
        </row>
        <row r="34">
          <cell r="W34" t="str">
            <v>1.</v>
          </cell>
          <cell r="X34" t="str">
            <v xml:space="preserve">  Kantor</v>
          </cell>
          <cell r="AA34" t="str">
            <v>M2</v>
          </cell>
        </row>
        <row r="35">
          <cell r="W35" t="str">
            <v>2.</v>
          </cell>
          <cell r="X35" t="str">
            <v xml:space="preserve">  Akomudasi utk. Wkl. Direksi Teknik</v>
          </cell>
          <cell r="AA35" t="str">
            <v>M2</v>
          </cell>
          <cell r="AG35" t="str">
            <v>2.3 (2)</v>
          </cell>
          <cell r="AI35" t="str">
            <v xml:space="preserve">  Gorong-gorong Pipa beton bertulang</v>
          </cell>
          <cell r="AJ35" t="str">
            <v>M'</v>
          </cell>
          <cell r="AP35" t="str">
            <v>10.</v>
          </cell>
          <cell r="AR35" t="str">
            <v xml:space="preserve">     PEKERJAAN PEMELIHARAAN RUTIN</v>
          </cell>
        </row>
        <row r="36">
          <cell r="W36" t="str">
            <v>3.</v>
          </cell>
          <cell r="X36" t="str">
            <v xml:space="preserve">  Ruang Laboratorium</v>
          </cell>
          <cell r="AA36" t="str">
            <v>M2</v>
          </cell>
          <cell r="AI36" t="str">
            <v xml:space="preserve">  diameter &lt; 45 - 75 cm</v>
          </cell>
        </row>
        <row r="37">
          <cell r="T37" t="str">
            <v>ACEH BESAR,   22  AGUSTUS  2000</v>
          </cell>
          <cell r="W37" t="str">
            <v>4.</v>
          </cell>
          <cell r="X37" t="str">
            <v xml:space="preserve">  Peralatan Laboratorium</v>
          </cell>
          <cell r="AA37" t="str">
            <v>Unit</v>
          </cell>
          <cell r="AP37" t="str">
            <v>(A)</v>
          </cell>
          <cell r="AR37" t="str">
            <v xml:space="preserve">     JUMLAH HARGA PENAWARAN ( TERMASUK BIAYA UMUM &amp; KEUNTUNGAN )</v>
          </cell>
        </row>
        <row r="38">
          <cell r="T38" t="str">
            <v>CV. MANDIRI KARYA UTAMA</v>
          </cell>
          <cell r="W38" t="str">
            <v>5.</v>
          </cell>
          <cell r="X38" t="str">
            <v xml:space="preserve">  Perabotan dan Layanan</v>
          </cell>
          <cell r="AA38" t="str">
            <v>Unit</v>
          </cell>
          <cell r="AG38" t="str">
            <v>2.3 (3)</v>
          </cell>
          <cell r="AI38" t="str">
            <v xml:space="preserve">  Gorong-gorong pipa beton bertulang</v>
          </cell>
          <cell r="AJ38" t="str">
            <v>M'</v>
          </cell>
          <cell r="AP38" t="str">
            <v>(B)</v>
          </cell>
          <cell r="AR38" t="str">
            <v xml:space="preserve">     PAJAK PERTAMBAHAN NILAI ( PPN ) = 10% x ( A )</v>
          </cell>
        </row>
        <row r="39">
          <cell r="AI39" t="str">
            <v xml:space="preserve">  diameter &lt; 75 - 120 cm</v>
          </cell>
          <cell r="AP39" t="str">
            <v>(C)</v>
          </cell>
          <cell r="AR39" t="str">
            <v xml:space="preserve">     JUMLAH TOTAL HARGA PENAWARAN = ( A ) + ( B )</v>
          </cell>
        </row>
        <row r="40">
          <cell r="AP40" t="str">
            <v>(D)</v>
          </cell>
          <cell r="AR40" t="str">
            <v xml:space="preserve">     DIBULATKAN</v>
          </cell>
        </row>
        <row r="41">
          <cell r="W41" t="str">
            <v>E.</v>
          </cell>
          <cell r="X41" t="str">
            <v xml:space="preserve">  Mata Pekerjaan Mobilisasi Lainnya.</v>
          </cell>
          <cell r="AG41" t="str">
            <v>2.3 (4)</v>
          </cell>
          <cell r="AI41" t="str">
            <v xml:space="preserve">  Gorong-gorong Pipa Baja gelombang</v>
          </cell>
          <cell r="AJ41" t="str">
            <v>Ton</v>
          </cell>
        </row>
        <row r="42">
          <cell r="AP42" t="str">
            <v>TERBILANG  :    LIMA RATUS ENAM PULUH DELAPAN JUTA SEMBILAN RATUS SEMBILAN PULUH TIGA RIBU RUPIAH,-</v>
          </cell>
        </row>
        <row r="43">
          <cell r="AG43" t="str">
            <v>2.4 (1)</v>
          </cell>
          <cell r="AI43" t="str">
            <v xml:space="preserve">  Urugan berongga atau Material penyaring</v>
          </cell>
          <cell r="AJ43" t="str">
            <v>M3</v>
          </cell>
        </row>
        <row r="44">
          <cell r="T44" t="str">
            <v>( IBRAHIM T. M. AMIN )</v>
          </cell>
          <cell r="W44" t="str">
            <v>F.</v>
          </cell>
          <cell r="X44" t="str">
            <v xml:space="preserve">  Demobilisasi</v>
          </cell>
          <cell r="AA44" t="str">
            <v>Ls</v>
          </cell>
          <cell r="AB44">
            <v>1</v>
          </cell>
          <cell r="AC44">
            <v>3000000</v>
          </cell>
          <cell r="AD44">
            <v>3000000</v>
          </cell>
        </row>
        <row r="45">
          <cell r="T45" t="str">
            <v>D i r e k t u r</v>
          </cell>
          <cell r="AG45" t="str">
            <v>2.4 (2)</v>
          </cell>
          <cell r="AI45" t="str">
            <v xml:space="preserve">  Pekerjaan drainase dibawah permukaan</v>
          </cell>
          <cell r="AJ45" t="str">
            <v>M2</v>
          </cell>
        </row>
        <row r="46">
          <cell r="AI46" t="str">
            <v xml:space="preserve">  Material penyaring plastik</v>
          </cell>
        </row>
        <row r="47">
          <cell r="W47" t="str">
            <v>G.</v>
          </cell>
          <cell r="X47" t="str">
            <v xml:space="preserve">  JUMLAH ( A + B + C + D + E + F )</v>
          </cell>
          <cell r="AD47">
            <v>10800000</v>
          </cell>
        </row>
        <row r="48">
          <cell r="AG48" t="str">
            <v>2.4 (3)</v>
          </cell>
          <cell r="AI48" t="str">
            <v xml:space="preserve">  Pipa untuk Pekerjaan Drainase di bawah</v>
          </cell>
          <cell r="AJ48" t="str">
            <v>M'</v>
          </cell>
        </row>
        <row r="49">
          <cell r="AI49" t="str">
            <v xml:space="preserve">  permukaan</v>
          </cell>
          <cell r="AJ49" t="str">
            <v xml:space="preserve"> </v>
          </cell>
        </row>
        <row r="50">
          <cell r="W50" t="str">
            <v>H.</v>
          </cell>
          <cell r="X50" t="str">
            <v xml:space="preserve">  HARGA LUMPSUM = G</v>
          </cell>
          <cell r="AD50">
            <v>10800000</v>
          </cell>
        </row>
        <row r="51">
          <cell r="AS51" t="str">
            <v>ACEH BESAR,   22  AGUSTUS  2000</v>
          </cell>
        </row>
        <row r="52">
          <cell r="AS52" t="str">
            <v>CV. MANDIRI KARYA UTAMA</v>
          </cell>
        </row>
        <row r="53">
          <cell r="W53" t="str">
            <v>I.</v>
          </cell>
          <cell r="X53" t="str">
            <v xml:space="preserve">  TOTAL BIAYA MOBILISASI ( DIBULATKAN )</v>
          </cell>
          <cell r="AD53">
            <v>10800000</v>
          </cell>
        </row>
        <row r="58">
          <cell r="AS58" t="str">
            <v>( IBRAHIM T. M. AMIN )</v>
          </cell>
        </row>
        <row r="59">
          <cell r="AS59" t="str">
            <v>D i r e k t u r</v>
          </cell>
        </row>
        <row r="78">
          <cell r="W78" t="str">
            <v>LAMPIRAN  2(a)-2  PENAWARAN</v>
          </cell>
          <cell r="AX78" t="str">
            <v>LAMPIRAN 2(d)-2  PENAWARAN</v>
          </cell>
        </row>
        <row r="79">
          <cell r="W79" t="str">
            <v>( Lampiran ini dipergunakan semata-mata untuk Evaluasi Penawaran )</v>
          </cell>
          <cell r="AG79" t="str">
            <v>DAFTAR KUANTITAS DAN HARGA</v>
          </cell>
          <cell r="AX79" t="str">
            <v>(Lampiran ini dipergunakan semata-mata untuk evaluasi penawaran)</v>
          </cell>
        </row>
        <row r="81">
          <cell r="W81" t="str">
            <v>ANALISA HARGA LUMP SUM UNTUK MOBILISASI</v>
          </cell>
          <cell r="AG81" t="str">
            <v>PENAWAR</v>
          </cell>
          <cell r="AH81" t="str">
            <v>:</v>
          </cell>
          <cell r="AI81" t="str">
            <v>CV. MANDIRI KARYA UTAMA</v>
          </cell>
          <cell r="AX81" t="str">
            <v>KONFIRMASI KAPASITAS PLANT PENCAMPUR ASPAL</v>
          </cell>
        </row>
        <row r="82">
          <cell r="AG82" t="str">
            <v>PROYEK</v>
          </cell>
          <cell r="AH82" t="str">
            <v>:</v>
          </cell>
          <cell r="AI82" t="str">
            <v>PENINGKATAN JALAN DAN PENGGANTIAN JEMBATAN DPU CAB. VI ACEH BARAT</v>
          </cell>
        </row>
        <row r="83">
          <cell r="W83" t="str">
            <v>NAMA PENAWAR</v>
          </cell>
          <cell r="Y83" t="str">
            <v>:</v>
          </cell>
          <cell r="Z83" t="str">
            <v>CV. MANDIRI KARYA UTAMA</v>
          </cell>
          <cell r="AG83" t="str">
            <v>PEKERJAAN</v>
          </cell>
          <cell r="AH83" t="str">
            <v>:</v>
          </cell>
          <cell r="AI83" t="str">
            <v>PENINGKATAN JALAN KUALA TUHA - LAMIE, KM. 45+000 s/d 47+000</v>
          </cell>
        </row>
        <row r="84">
          <cell r="W84" t="str">
            <v>PROYEK</v>
          </cell>
          <cell r="Y84" t="str">
            <v>:</v>
          </cell>
          <cell r="Z84" t="str">
            <v>PENINGKATAN JALAN DAN PENGGANTIAN JEMBATAN DPU CAB. VI ACEH BARAT</v>
          </cell>
          <cell r="AG84" t="str">
            <v>PROPINSI</v>
          </cell>
          <cell r="AH84" t="str">
            <v>:</v>
          </cell>
          <cell r="AI84" t="str">
            <v>DAERAH ISTIMEWA ACEH</v>
          </cell>
          <cell r="AX84" t="str">
            <v>NAMA PENAWAR</v>
          </cell>
          <cell r="BA84" t="str">
            <v>CV. MANDIRI KARYA UTAMA</v>
          </cell>
        </row>
        <row r="85">
          <cell r="W85" t="str">
            <v>NO. MATA PEMBAYARAN</v>
          </cell>
          <cell r="Y85" t="str">
            <v>:</v>
          </cell>
          <cell r="Z85" t="str">
            <v>1.2</v>
          </cell>
          <cell r="AG85" t="str">
            <v>LOKASI</v>
          </cell>
          <cell r="AH85" t="str">
            <v>:</v>
          </cell>
          <cell r="AI85" t="str">
            <v>KABUPATEN ACEH BARAT</v>
          </cell>
          <cell r="AX85" t="str">
            <v xml:space="preserve"> </v>
          </cell>
        </row>
        <row r="86">
          <cell r="W86" t="str">
            <v>JENIS PEKERJAAN</v>
          </cell>
          <cell r="Y86" t="str">
            <v>:</v>
          </cell>
          <cell r="Z86" t="str">
            <v>MOBILISASI</v>
          </cell>
          <cell r="AG86" t="str">
            <v>TH. ANGG.</v>
          </cell>
          <cell r="AH86" t="str">
            <v>:</v>
          </cell>
          <cell r="AI86">
            <v>2000</v>
          </cell>
          <cell r="AX86" t="str">
            <v>1.</v>
          </cell>
          <cell r="AY86" t="str">
            <v>Waktu bekerja yang tersedia</v>
          </cell>
        </row>
        <row r="87">
          <cell r="W87" t="str">
            <v>SATUAN PEKERJAAN</v>
          </cell>
          <cell r="Y87" t="str">
            <v>:</v>
          </cell>
          <cell r="Z87" t="str">
            <v>LUMP SUM</v>
          </cell>
          <cell r="AX87" t="str">
            <v>(a)</v>
          </cell>
          <cell r="AY87" t="str">
            <v>Jangka Waktu Pelaksanaan</v>
          </cell>
          <cell r="BO87" t="str">
            <v>=</v>
          </cell>
          <cell r="BP87">
            <v>100</v>
          </cell>
          <cell r="BQ87" t="str">
            <v>hari</v>
          </cell>
        </row>
        <row r="88">
          <cell r="W88" t="str">
            <v>PRODUKSI HARIAN/JAM</v>
          </cell>
          <cell r="Y88" t="str">
            <v>:</v>
          </cell>
          <cell r="AG88" t="str">
            <v>MATA</v>
          </cell>
          <cell r="AL88" t="str">
            <v>HARGA</v>
          </cell>
          <cell r="AM88" t="str">
            <v>JUMLAH</v>
          </cell>
          <cell r="AX88" t="str">
            <v>(b)</v>
          </cell>
          <cell r="AY88" t="str">
            <v>Mobilisasi dan Jangka Waktu Pemasangan Peralatan dan Persediaan Material ( min=120 hari )</v>
          </cell>
          <cell r="BO88" t="str">
            <v>=</v>
          </cell>
          <cell r="BP88" t="str">
            <v>-</v>
          </cell>
          <cell r="BQ88" t="str">
            <v>hari</v>
          </cell>
        </row>
        <row r="89">
          <cell r="AG89" t="str">
            <v>PEMBA-</v>
          </cell>
          <cell r="AI89" t="str">
            <v>U R A I A N</v>
          </cell>
          <cell r="AJ89" t="str">
            <v>SATUAN</v>
          </cell>
          <cell r="AK89" t="str">
            <v>PERKIRAAN</v>
          </cell>
          <cell r="AL89" t="str">
            <v>SATUAN</v>
          </cell>
          <cell r="AM89" t="str">
            <v>HARGA-HARGA</v>
          </cell>
          <cell r="AX89" t="str">
            <v>(c)</v>
          </cell>
          <cell r="AY89" t="str">
            <v>Demobilisasi / Waktu tidak Produktif pada akhir Masa Kontrak ( min=30 hari )</v>
          </cell>
          <cell r="BO89" t="str">
            <v>=</v>
          </cell>
          <cell r="BP89">
            <v>10</v>
          </cell>
          <cell r="BQ89" t="str">
            <v>hari</v>
          </cell>
        </row>
        <row r="90">
          <cell r="AC90" t="str">
            <v>HARGA</v>
          </cell>
          <cell r="AD90" t="str">
            <v>JUMLAH</v>
          </cell>
          <cell r="AG90" t="str">
            <v>YARAN</v>
          </cell>
          <cell r="AK90" t="str">
            <v>KUANTITAS</v>
          </cell>
          <cell r="AL90" t="str">
            <v>( Rp.)</v>
          </cell>
          <cell r="AM90" t="str">
            <v>PENAWARAN (Rp)</v>
          </cell>
          <cell r="AX90" t="str">
            <v>(d)</v>
          </cell>
          <cell r="AY90" t="str">
            <v>Hari-hari libur, kerusakan-kerusakan / gangguan-gangguan, dsb.</v>
          </cell>
          <cell r="BO90" t="str">
            <v>=</v>
          </cell>
          <cell r="BP90">
            <v>10</v>
          </cell>
          <cell r="BQ90" t="str">
            <v>hari</v>
          </cell>
        </row>
        <row r="91">
          <cell r="W91" t="str">
            <v>NO</v>
          </cell>
          <cell r="X91" t="str">
            <v>U R A I A N</v>
          </cell>
          <cell r="AA91" t="str">
            <v>SATUAN</v>
          </cell>
          <cell r="AB91" t="str">
            <v>KUANTITAS</v>
          </cell>
          <cell r="AC91" t="str">
            <v>SATUAN</v>
          </cell>
          <cell r="AD91" t="str">
            <v>HARGA</v>
          </cell>
          <cell r="AG91" t="str">
            <v>a</v>
          </cell>
          <cell r="AI91" t="str">
            <v>b</v>
          </cell>
          <cell r="AJ91" t="str">
            <v>c</v>
          </cell>
          <cell r="AK91" t="str">
            <v>d</v>
          </cell>
          <cell r="AL91" t="str">
            <v>e</v>
          </cell>
          <cell r="AM91" t="str">
            <v>f = (d x e)</v>
          </cell>
          <cell r="AY91" t="str">
            <v>(e)</v>
          </cell>
          <cell r="AZ91" t="str">
            <v>Jumlah hari kerja yang sesungguhnya (a)-(b)-(c)-(d)</v>
          </cell>
          <cell r="BO91" t="str">
            <v>=</v>
          </cell>
          <cell r="BP91">
            <v>120</v>
          </cell>
          <cell r="BQ91" t="str">
            <v>hari</v>
          </cell>
        </row>
        <row r="92">
          <cell r="AC92" t="str">
            <v>(Rp.)</v>
          </cell>
          <cell r="AD92" t="str">
            <v>(Rp.)</v>
          </cell>
          <cell r="AY92" t="str">
            <v>[C]</v>
          </cell>
          <cell r="AZ92" t="str">
            <v>Jumlah jam kerja Plant yang sesungguhnya</v>
          </cell>
          <cell r="BM92">
            <v>8</v>
          </cell>
          <cell r="BN92" t="str">
            <v>jam/hari</v>
          </cell>
          <cell r="BO92" t="str">
            <v>=</v>
          </cell>
          <cell r="BP92">
            <v>960</v>
          </cell>
          <cell r="BQ92" t="str">
            <v>jam</v>
          </cell>
        </row>
        <row r="93">
          <cell r="AG93" t="str">
            <v>BAB. 3</v>
          </cell>
          <cell r="AI93" t="str">
            <v xml:space="preserve">  PEKERJAAN TANAH</v>
          </cell>
        </row>
        <row r="94">
          <cell r="W94" t="str">
            <v>B.</v>
          </cell>
          <cell r="X94" t="str">
            <v xml:space="preserve">  P e r a l a t a n :</v>
          </cell>
          <cell r="AX94" t="str">
            <v>2.</v>
          </cell>
          <cell r="AY94" t="str">
            <v>Kebutuhan Bahan Aspal Campuran Panas</v>
          </cell>
        </row>
        <row r="95">
          <cell r="AG95" t="str">
            <v>3.1 (1)</v>
          </cell>
          <cell r="AI95" t="str">
            <v xml:space="preserve">  Galian Biasa</v>
          </cell>
          <cell r="AJ95" t="str">
            <v>M3</v>
          </cell>
          <cell r="AK95">
            <v>800</v>
          </cell>
          <cell r="AL95">
            <v>6675</v>
          </cell>
          <cell r="AM95">
            <v>5340000</v>
          </cell>
          <cell r="AX95" t="str">
            <v>(1)</v>
          </cell>
          <cell r="AY95" t="str">
            <v>Latasir (HRSS)</v>
          </cell>
          <cell r="BF95" t="str">
            <v>m2</v>
          </cell>
          <cell r="BH95" t="str">
            <v>x</v>
          </cell>
          <cell r="BJ95">
            <v>1.4999999999999999E-2</v>
          </cell>
          <cell r="BK95" t="str">
            <v>x</v>
          </cell>
          <cell r="BL95">
            <v>2.25</v>
          </cell>
          <cell r="BM95" t="str">
            <v>x</v>
          </cell>
          <cell r="BN95" t="str">
            <v>W**</v>
          </cell>
          <cell r="BO95" t="str">
            <v>=</v>
          </cell>
          <cell r="BQ95" t="str">
            <v>ton</v>
          </cell>
        </row>
        <row r="96">
          <cell r="W96" t="str">
            <v>1</v>
          </cell>
          <cell r="X96" t="str">
            <v xml:space="preserve">  Asphalt Finisher, 80 ton/hr</v>
          </cell>
          <cell r="AA96" t="str">
            <v>Unit</v>
          </cell>
          <cell r="AB96">
            <v>1</v>
          </cell>
          <cell r="AC96">
            <v>500000</v>
          </cell>
          <cell r="AD96">
            <v>500000</v>
          </cell>
          <cell r="AX96" t="str">
            <v>(2)</v>
          </cell>
          <cell r="AY96" t="str">
            <v>Lataston (HRS)</v>
          </cell>
          <cell r="BF96" t="str">
            <v>m2</v>
          </cell>
          <cell r="BH96" t="str">
            <v>x</v>
          </cell>
          <cell r="BJ96">
            <v>0.03</v>
          </cell>
          <cell r="BK96" t="str">
            <v>x</v>
          </cell>
          <cell r="BL96">
            <v>2.25</v>
          </cell>
          <cell r="BM96" t="str">
            <v>x</v>
          </cell>
          <cell r="BN96" t="str">
            <v>W**</v>
          </cell>
          <cell r="BO96" t="str">
            <v>=</v>
          </cell>
          <cell r="BQ96" t="str">
            <v>ton</v>
          </cell>
        </row>
        <row r="97">
          <cell r="W97">
            <v>2</v>
          </cell>
          <cell r="X97" t="str">
            <v xml:space="preserve">  Asphalt Sprayer, 1000 lt</v>
          </cell>
          <cell r="AA97" t="str">
            <v>Unit</v>
          </cell>
          <cell r="AB97">
            <v>1</v>
          </cell>
          <cell r="AC97">
            <v>150000</v>
          </cell>
          <cell r="AD97">
            <v>150000</v>
          </cell>
          <cell r="AG97" t="str">
            <v>3.1 (2)</v>
          </cell>
          <cell r="AI97" t="str">
            <v xml:space="preserve">  Galian Cadas / Batuan</v>
          </cell>
          <cell r="AJ97" t="str">
            <v>M3</v>
          </cell>
          <cell r="AX97" t="str">
            <v>(3)</v>
          </cell>
          <cell r="AY97" t="str">
            <v>Aspal Beton (Laston), Wearing Course</v>
          </cell>
          <cell r="BE97">
            <v>0</v>
          </cell>
          <cell r="BF97" t="str">
            <v>m2</v>
          </cell>
          <cell r="BH97" t="str">
            <v>x</v>
          </cell>
          <cell r="BJ97">
            <v>0.04</v>
          </cell>
          <cell r="BK97" t="str">
            <v>x</v>
          </cell>
          <cell r="BL97">
            <v>2.2999999999999998</v>
          </cell>
          <cell r="BM97" t="str">
            <v>x</v>
          </cell>
          <cell r="BN97">
            <v>1.05</v>
          </cell>
          <cell r="BO97" t="str">
            <v>=</v>
          </cell>
          <cell r="BP97">
            <v>0</v>
          </cell>
          <cell r="BQ97" t="str">
            <v>ton</v>
          </cell>
        </row>
        <row r="98">
          <cell r="W98">
            <v>3</v>
          </cell>
          <cell r="X98" t="str">
            <v xml:space="preserve">  Air Compressor, 6000 lt/m</v>
          </cell>
          <cell r="AA98" t="str">
            <v>set</v>
          </cell>
          <cell r="AB98">
            <v>1</v>
          </cell>
          <cell r="AC98">
            <v>150000</v>
          </cell>
          <cell r="AD98">
            <v>150000</v>
          </cell>
          <cell r="AX98" t="str">
            <v>(4)</v>
          </cell>
          <cell r="AY98" t="str">
            <v>Aspal Beton (Laston), Binder Course</v>
          </cell>
          <cell r="BF98" t="str">
            <v>m2</v>
          </cell>
          <cell r="BH98" t="str">
            <v>x</v>
          </cell>
          <cell r="BJ98">
            <v>0.05</v>
          </cell>
          <cell r="BK98" t="str">
            <v>x</v>
          </cell>
          <cell r="BL98">
            <v>2.2999999999999998</v>
          </cell>
          <cell r="BM98" t="str">
            <v>x</v>
          </cell>
          <cell r="BN98" t="str">
            <v>W**</v>
          </cell>
          <cell r="BO98" t="str">
            <v>=</v>
          </cell>
          <cell r="BQ98" t="str">
            <v>ton</v>
          </cell>
        </row>
        <row r="99">
          <cell r="W99">
            <v>4</v>
          </cell>
          <cell r="X99" t="str">
            <v xml:space="preserve">  Dump Truck, 8 ton</v>
          </cell>
          <cell r="AA99" t="str">
            <v>Unit</v>
          </cell>
          <cell r="AB99">
            <v>4</v>
          </cell>
          <cell r="AC99">
            <v>150000</v>
          </cell>
          <cell r="AD99">
            <v>600000</v>
          </cell>
          <cell r="AG99" t="str">
            <v>3.2 (1)</v>
          </cell>
          <cell r="AI99" t="str">
            <v xml:space="preserve">  Urugan Biasa</v>
          </cell>
          <cell r="AJ99" t="str">
            <v>M3</v>
          </cell>
          <cell r="AK99">
            <v>1000</v>
          </cell>
          <cell r="AL99">
            <v>15089</v>
          </cell>
          <cell r="AM99">
            <v>15089000</v>
          </cell>
          <cell r="AX99" t="str">
            <v>(5)</v>
          </cell>
          <cell r="AY99" t="str">
            <v>Split Mastic Asphalt (SMA)  0/11</v>
          </cell>
          <cell r="BF99" t="str">
            <v>m2</v>
          </cell>
          <cell r="BH99" t="str">
            <v>x</v>
          </cell>
          <cell r="BJ99">
            <v>0.04</v>
          </cell>
          <cell r="BK99" t="str">
            <v>x</v>
          </cell>
          <cell r="BL99">
            <v>2.2999999999999998</v>
          </cell>
          <cell r="BM99" t="str">
            <v>x</v>
          </cell>
          <cell r="BN99" t="str">
            <v>W**</v>
          </cell>
          <cell r="BO99" t="str">
            <v>=</v>
          </cell>
          <cell r="BQ99" t="str">
            <v>ton</v>
          </cell>
        </row>
        <row r="100">
          <cell r="W100">
            <v>5</v>
          </cell>
          <cell r="X100" t="str">
            <v xml:space="preserve">  Motor Grader, 120 HP</v>
          </cell>
          <cell r="AA100" t="str">
            <v>Unit</v>
          </cell>
          <cell r="AB100">
            <v>1</v>
          </cell>
          <cell r="AC100">
            <v>300000</v>
          </cell>
          <cell r="AD100">
            <v>300000</v>
          </cell>
          <cell r="AX100" t="str">
            <v>(6)</v>
          </cell>
          <cell r="AY100" t="str">
            <v>Asphalt Treated Base Levelling (ATBL)</v>
          </cell>
          <cell r="BE100">
            <v>360</v>
          </cell>
          <cell r="BF100" t="str">
            <v>m3</v>
          </cell>
          <cell r="BI100" t="str">
            <v>x</v>
          </cell>
          <cell r="BJ100" t="str">
            <v xml:space="preserve"> </v>
          </cell>
          <cell r="BL100">
            <v>2.2999999999999998</v>
          </cell>
          <cell r="BM100" t="str">
            <v>x</v>
          </cell>
          <cell r="BN100">
            <v>1.05</v>
          </cell>
          <cell r="BO100" t="str">
            <v>=</v>
          </cell>
          <cell r="BP100">
            <v>869.39999999999986</v>
          </cell>
          <cell r="BQ100" t="str">
            <v>ton</v>
          </cell>
        </row>
        <row r="101">
          <cell r="W101">
            <v>6</v>
          </cell>
          <cell r="X101" t="str">
            <v xml:space="preserve">  Wheel Loader, 1,2 m3</v>
          </cell>
          <cell r="AA101" t="str">
            <v>Unit</v>
          </cell>
          <cell r="AB101">
            <v>1</v>
          </cell>
          <cell r="AC101">
            <v>300000</v>
          </cell>
          <cell r="AD101">
            <v>300000</v>
          </cell>
          <cell r="AG101" t="str">
            <v>3.2 (2)</v>
          </cell>
          <cell r="AI101" t="str">
            <v xml:space="preserve">  Urugan Pilihan</v>
          </cell>
          <cell r="AJ101" t="str">
            <v>M3</v>
          </cell>
          <cell r="AK101">
            <v>500</v>
          </cell>
          <cell r="AL101">
            <v>18172</v>
          </cell>
          <cell r="AM101">
            <v>9086000</v>
          </cell>
          <cell r="AX101" t="str">
            <v>(7)</v>
          </cell>
          <cell r="AY101" t="str">
            <v>Lain-lain</v>
          </cell>
          <cell r="BO101" t="str">
            <v>=</v>
          </cell>
          <cell r="BQ101" t="str">
            <v>ton</v>
          </cell>
        </row>
        <row r="102">
          <cell r="W102">
            <v>7</v>
          </cell>
          <cell r="X102" t="str">
            <v xml:space="preserve">  Tandem Roller, 8 ton</v>
          </cell>
          <cell r="AA102" t="str">
            <v>Unit</v>
          </cell>
          <cell r="AB102">
            <v>1</v>
          </cell>
          <cell r="AC102">
            <v>300000</v>
          </cell>
          <cell r="AD102">
            <v>300000</v>
          </cell>
        </row>
        <row r="103">
          <cell r="W103">
            <v>8</v>
          </cell>
          <cell r="X103" t="str">
            <v xml:space="preserve">  Water Tanker, 5000 lt</v>
          </cell>
          <cell r="AA103" t="str">
            <v>Unit</v>
          </cell>
          <cell r="AB103">
            <v>1</v>
          </cell>
          <cell r="AC103">
            <v>150000</v>
          </cell>
          <cell r="AD103">
            <v>150000</v>
          </cell>
          <cell r="AG103" t="str">
            <v>3.3</v>
          </cell>
          <cell r="AI103" t="str">
            <v xml:space="preserve">  Penyiapan Badan Jalan</v>
          </cell>
          <cell r="AJ103" t="str">
            <v>M3</v>
          </cell>
          <cell r="AK103">
            <v>9000</v>
          </cell>
          <cell r="AL103">
            <v>533</v>
          </cell>
          <cell r="AM103">
            <v>4797000</v>
          </cell>
          <cell r="AY103" t="str">
            <v>[D]</v>
          </cell>
          <cell r="AZ103" t="str">
            <v>Jumlah Kebutuhan Aspal Campuran Panas</v>
          </cell>
          <cell r="BO103" t="str">
            <v>=</v>
          </cell>
          <cell r="BP103">
            <v>869.39999999999986</v>
          </cell>
          <cell r="BQ103" t="str">
            <v>ton</v>
          </cell>
        </row>
        <row r="104">
          <cell r="W104">
            <v>9</v>
          </cell>
          <cell r="X104" t="str">
            <v xml:space="preserve">  Concrete Mixer, 0,3 m3</v>
          </cell>
          <cell r="AA104" t="str">
            <v>Unit</v>
          </cell>
        </row>
        <row r="105">
          <cell r="W105">
            <v>10</v>
          </cell>
          <cell r="X105" t="str">
            <v xml:space="preserve">  Concrete Vibrator, 3 HP</v>
          </cell>
          <cell r="AA105" t="str">
            <v>Unit</v>
          </cell>
        </row>
        <row r="106">
          <cell r="W106">
            <v>11</v>
          </cell>
          <cell r="X106" t="str">
            <v xml:space="preserve">  Flat Bed Truck, 4 ton</v>
          </cell>
          <cell r="AA106" t="str">
            <v>Unit</v>
          </cell>
          <cell r="AX106" t="str">
            <v>3.</v>
          </cell>
          <cell r="AY106" t="str">
            <v>Kapasitas Plant Pencampur Aspal</v>
          </cell>
        </row>
        <row r="107">
          <cell r="W107">
            <v>12</v>
          </cell>
          <cell r="X107" t="str">
            <v xml:space="preserve">  Tyred Roller, 8 - 10 ton</v>
          </cell>
          <cell r="AA107" t="str">
            <v>Unit</v>
          </cell>
          <cell r="AB107">
            <v>1</v>
          </cell>
          <cell r="AC107">
            <v>300000</v>
          </cell>
          <cell r="AD107">
            <v>300000</v>
          </cell>
          <cell r="AI107" t="str">
            <v xml:space="preserve">  Sub Total Harga Bab. 3 ( Dipindahkan ke Rekapitulasi Daftar Kuantitas dan Harga )</v>
          </cell>
          <cell r="AM107">
            <v>34312000</v>
          </cell>
        </row>
        <row r="108">
          <cell r="W108">
            <v>13</v>
          </cell>
          <cell r="X108" t="str">
            <v xml:space="preserve">  Stell Wheel Roller, 10 ton</v>
          </cell>
          <cell r="AA108" t="str">
            <v>Unit</v>
          </cell>
          <cell r="AX108" t="str">
            <v>Kapasitas yang diperlukan                        [D] / [C]</v>
          </cell>
          <cell r="BC108" t="str">
            <v>:</v>
          </cell>
          <cell r="BD108">
            <v>0.9056249999999999</v>
          </cell>
          <cell r="BE108" t="str">
            <v>ton/jam</v>
          </cell>
        </row>
        <row r="109">
          <cell r="W109">
            <v>14</v>
          </cell>
          <cell r="X109" t="str">
            <v xml:space="preserve">  Vibratory Roller, 8 ton</v>
          </cell>
          <cell r="AA109" t="str">
            <v>Unit</v>
          </cell>
          <cell r="AB109">
            <v>1</v>
          </cell>
          <cell r="AC109">
            <v>300000</v>
          </cell>
          <cell r="AD109">
            <v>300000</v>
          </cell>
          <cell r="AX109" t="str">
            <v>Kebutuhan  Campuran Aspal/Jumlah Jam Kerja</v>
          </cell>
        </row>
        <row r="110">
          <cell r="W110">
            <v>15</v>
          </cell>
          <cell r="X110" t="str">
            <v xml:space="preserve">  Track Loader, 100 HP</v>
          </cell>
          <cell r="AA110" t="str">
            <v>Unit</v>
          </cell>
          <cell r="AG110" t="str">
            <v>BAB. 4</v>
          </cell>
          <cell r="AI110" t="str">
            <v xml:space="preserve">  BAHU JALAN</v>
          </cell>
        </row>
        <row r="111">
          <cell r="W111">
            <v>16</v>
          </cell>
          <cell r="X111" t="str">
            <v xml:space="preserve">  Buldozer, 120 HP</v>
          </cell>
          <cell r="AA111" t="str">
            <v>Unit</v>
          </cell>
          <cell r="AX111" t="str">
            <v>Kapasitas yang sesungguhnya</v>
          </cell>
          <cell r="BB111" t="str">
            <v>Plant  1</v>
          </cell>
          <cell r="BC111" t="str">
            <v>:</v>
          </cell>
          <cell r="BD111">
            <v>40</v>
          </cell>
          <cell r="BE111" t="str">
            <v>ton/jam</v>
          </cell>
        </row>
        <row r="112">
          <cell r="W112">
            <v>17</v>
          </cell>
          <cell r="X112" t="str">
            <v xml:space="preserve">  Excavator, 100 HP</v>
          </cell>
          <cell r="AA112" t="str">
            <v>Unit</v>
          </cell>
          <cell r="AB112">
            <v>1</v>
          </cell>
          <cell r="AC112">
            <v>600000</v>
          </cell>
          <cell r="AD112">
            <v>600000</v>
          </cell>
          <cell r="AG112" t="str">
            <v>4.1 (1)</v>
          </cell>
          <cell r="AI112" t="str">
            <v xml:space="preserve">  Lapis Pondasi Agregat Kelas A</v>
          </cell>
          <cell r="AJ112" t="str">
            <v>M3</v>
          </cell>
          <cell r="BB112" t="str">
            <v>Plant  2</v>
          </cell>
          <cell r="BC112" t="str">
            <v>:</v>
          </cell>
          <cell r="BE112" t="str">
            <v>ton/jam</v>
          </cell>
        </row>
        <row r="113">
          <cell r="W113">
            <v>18</v>
          </cell>
          <cell r="X113" t="str">
            <v xml:space="preserve">  Generator set, 200 kw</v>
          </cell>
          <cell r="AA113" t="str">
            <v>Unit</v>
          </cell>
          <cell r="BB113" t="str">
            <v>Lain-lain</v>
          </cell>
          <cell r="BC113" t="str">
            <v>:</v>
          </cell>
          <cell r="BE113" t="str">
            <v>ton/jam</v>
          </cell>
        </row>
        <row r="114">
          <cell r="W114">
            <v>19</v>
          </cell>
          <cell r="X114" t="str">
            <v xml:space="preserve">  C r a n e, 10 ton</v>
          </cell>
          <cell r="AA114" t="str">
            <v>Unit</v>
          </cell>
          <cell r="AG114" t="str">
            <v>4.1 (2)</v>
          </cell>
          <cell r="AI114" t="str">
            <v xml:space="preserve">  Lapis Pondasi Agregat Kelas B</v>
          </cell>
          <cell r="AJ114" t="str">
            <v>M3</v>
          </cell>
          <cell r="AX114" t="str">
            <v>Jumlah Kapasitas yang sesungguhnya</v>
          </cell>
          <cell r="BC114" t="str">
            <v>:</v>
          </cell>
          <cell r="BD114">
            <v>40</v>
          </cell>
          <cell r="BE114" t="str">
            <v>ton/jam</v>
          </cell>
        </row>
        <row r="115">
          <cell r="W115">
            <v>20</v>
          </cell>
          <cell r="X115" t="str">
            <v xml:space="preserve">  Scale Bridge, 35 ton</v>
          </cell>
          <cell r="AA115" t="str">
            <v>set</v>
          </cell>
        </row>
        <row r="116">
          <cell r="W116">
            <v>21</v>
          </cell>
          <cell r="X116" t="str">
            <v xml:space="preserve">  Survey Equipment</v>
          </cell>
          <cell r="AA116" t="str">
            <v>set</v>
          </cell>
          <cell r="AG116" t="str">
            <v>4.2 (1)</v>
          </cell>
          <cell r="AI116" t="str">
            <v xml:space="preserve">  Semen untuk Pondasi Tanah Semen</v>
          </cell>
          <cell r="AJ116" t="str">
            <v>Ton</v>
          </cell>
        </row>
        <row r="117">
          <cell r="W117">
            <v>22</v>
          </cell>
          <cell r="X117" t="str">
            <v xml:space="preserve">  Vibrator Compactor, 3 HP</v>
          </cell>
          <cell r="AA117" t="str">
            <v>Unit</v>
          </cell>
        </row>
        <row r="118">
          <cell r="W118">
            <v>23</v>
          </cell>
          <cell r="X118" t="str">
            <v xml:space="preserve">  Water Pump, 100 mm</v>
          </cell>
          <cell r="AA118" t="str">
            <v>Unit</v>
          </cell>
          <cell r="AG118" t="str">
            <v>4.2 (2)</v>
          </cell>
          <cell r="AI118" t="str">
            <v xml:space="preserve">  Pondasi Tanah Semen</v>
          </cell>
          <cell r="AJ118" t="str">
            <v>M3</v>
          </cell>
        </row>
        <row r="119">
          <cell r="W119">
            <v>24</v>
          </cell>
          <cell r="X119" t="str">
            <v xml:space="preserve">  Pick-up Truck, 1 ton</v>
          </cell>
          <cell r="AA119" t="str">
            <v>Unit</v>
          </cell>
          <cell r="AB119">
            <v>1</v>
          </cell>
          <cell r="AC119">
            <v>150000</v>
          </cell>
          <cell r="AD119">
            <v>150000</v>
          </cell>
        </row>
        <row r="120">
          <cell r="W120">
            <v>25</v>
          </cell>
          <cell r="X120" t="str">
            <v xml:space="preserve">  Stone Crusher, 60 ton/hr</v>
          </cell>
          <cell r="AA120" t="str">
            <v>set</v>
          </cell>
          <cell r="AG120" t="str">
            <v>4.3 (1)</v>
          </cell>
          <cell r="AI120" t="str">
            <v xml:space="preserve">  Laburan permukaan aspal satu lapis (Burtu)</v>
          </cell>
          <cell r="AJ120" t="str">
            <v>M2</v>
          </cell>
        </row>
        <row r="121">
          <cell r="W121">
            <v>26</v>
          </cell>
          <cell r="X121" t="str">
            <v xml:space="preserve">  Asphalt Mixing Plan, 40 ton/hr</v>
          </cell>
          <cell r="AA121" t="str">
            <v>set</v>
          </cell>
        </row>
        <row r="122">
          <cell r="X122" t="str">
            <v>JUMLAH UNTUK MATA PEMBAYARAN B DALAM LAMPIRAN 2a-1</v>
          </cell>
          <cell r="AD122">
            <v>3800000</v>
          </cell>
          <cell r="AG122" t="str">
            <v>4.3 (2)</v>
          </cell>
          <cell r="AI122" t="str">
            <v xml:space="preserve">  Material Aspal untuk Laburan Permukaan</v>
          </cell>
          <cell r="AJ122" t="str">
            <v>Liter</v>
          </cell>
        </row>
        <row r="124">
          <cell r="AG124" t="str">
            <v>4.3 (3)</v>
          </cell>
          <cell r="AI124" t="str">
            <v xml:space="preserve">  Lapis Resap Pengikat</v>
          </cell>
          <cell r="AJ124" t="str">
            <v>Liter</v>
          </cell>
        </row>
        <row r="128">
          <cell r="AI128" t="str">
            <v xml:space="preserve">  Sub Total Harga Bab. 4 ( Dipindahkan ke Rekapitulasi Daftar Kuantitas dan Harga )</v>
          </cell>
          <cell r="AM128">
            <v>0</v>
          </cell>
        </row>
        <row r="131">
          <cell r="AG131" t="str">
            <v>BAB. 5</v>
          </cell>
          <cell r="AI131" t="str">
            <v xml:space="preserve">  PERKERASAN BERBUTIR (PONDASI)</v>
          </cell>
          <cell r="BK131" t="str">
            <v>ACEH BESAR,   22  AGUSTUS  2000</v>
          </cell>
        </row>
        <row r="132">
          <cell r="BK132" t="str">
            <v>CV. MANDIRI KARYA UTAMA</v>
          </cell>
        </row>
        <row r="133">
          <cell r="AG133" t="str">
            <v>5.1 (1)</v>
          </cell>
          <cell r="AI133" t="str">
            <v xml:space="preserve">  Lapis Pondasi Agregat Kelas A</v>
          </cell>
          <cell r="AJ133" t="str">
            <v>M3</v>
          </cell>
          <cell r="AK133">
            <v>1800</v>
          </cell>
          <cell r="AL133">
            <v>68771</v>
          </cell>
          <cell r="AM133">
            <v>123787800</v>
          </cell>
        </row>
        <row r="135">
          <cell r="AG135" t="str">
            <v>5.1 (2)</v>
          </cell>
          <cell r="AI135" t="str">
            <v xml:space="preserve">  Lapis Pondasi Agregat Kelas B</v>
          </cell>
          <cell r="AJ135" t="str">
            <v>M3</v>
          </cell>
          <cell r="AK135">
            <v>1520</v>
          </cell>
          <cell r="AL135">
            <v>66102</v>
          </cell>
          <cell r="AM135">
            <v>100475040</v>
          </cell>
        </row>
        <row r="137">
          <cell r="AG137" t="str">
            <v>5.2 (1)</v>
          </cell>
          <cell r="AI137" t="str">
            <v xml:space="preserve">  Lapis Pondasi Jalan Kelas C1</v>
          </cell>
          <cell r="AJ137" t="str">
            <v>M3</v>
          </cell>
        </row>
        <row r="138">
          <cell r="BK138" t="str">
            <v>( IBRAHIM T. M. AMIN )</v>
          </cell>
        </row>
        <row r="139">
          <cell r="AG139" t="str">
            <v>5.2 (2)</v>
          </cell>
          <cell r="AI139" t="str">
            <v xml:space="preserve">  Lapis Pondasi Jalan Kelas C2</v>
          </cell>
          <cell r="AJ139" t="str">
            <v>M3</v>
          </cell>
          <cell r="BK139" t="str">
            <v>D i r e k t u r</v>
          </cell>
        </row>
        <row r="141">
          <cell r="AG141" t="str">
            <v>5.4 (1)</v>
          </cell>
          <cell r="AI141" t="str">
            <v xml:space="preserve">  Semen untuk Pondasi Tanah Semen</v>
          </cell>
          <cell r="AJ141" t="str">
            <v>Ton</v>
          </cell>
        </row>
        <row r="143">
          <cell r="AG143" t="str">
            <v>5.4 (2)</v>
          </cell>
          <cell r="AI143" t="str">
            <v xml:space="preserve">  Pondasi Tanah Semen</v>
          </cell>
          <cell r="AJ143" t="str">
            <v>M3</v>
          </cell>
        </row>
        <row r="145">
          <cell r="AG145" t="str">
            <v>5.4 (3)</v>
          </cell>
          <cell r="AI145" t="str">
            <v xml:space="preserve">  Beton Tumbuk</v>
          </cell>
          <cell r="AJ145" t="str">
            <v>M3</v>
          </cell>
        </row>
        <row r="149">
          <cell r="AI149" t="str">
            <v xml:space="preserve">  Sub Total Harga Bab. 5 ( Dipindahkan ke Rekapitulasi Daftar Kuantitas dan Harga )</v>
          </cell>
          <cell r="AM149">
            <v>224262840</v>
          </cell>
        </row>
        <row r="161">
          <cell r="AG161" t="str">
            <v>DAFTAR KUANTITAS DAN HARGA</v>
          </cell>
        </row>
        <row r="163">
          <cell r="AG163" t="str">
            <v>PENAWAR</v>
          </cell>
          <cell r="AH163" t="str">
            <v>:</v>
          </cell>
          <cell r="AI163" t="str">
            <v>CV. MANDIRI KARYA UTAMA</v>
          </cell>
        </row>
        <row r="164">
          <cell r="AG164" t="str">
            <v>PROYEK</v>
          </cell>
          <cell r="AH164" t="str">
            <v>:</v>
          </cell>
          <cell r="AI164" t="str">
            <v>PENINGKATAN JALAN DAN PENGGANTIAN JEMBATAN DPU CAB. VI ACEH BARAT</v>
          </cell>
        </row>
        <row r="165">
          <cell r="AG165" t="str">
            <v>PEKERJAAN</v>
          </cell>
          <cell r="AH165" t="str">
            <v>:</v>
          </cell>
          <cell r="AI165" t="str">
            <v>PENINGKATAN JALAN KUALA TUHA - LAMIE, KM. 45+000 s/d 47+000</v>
          </cell>
        </row>
        <row r="166">
          <cell r="AG166" t="str">
            <v>PROPINSI</v>
          </cell>
          <cell r="AH166" t="str">
            <v>:</v>
          </cell>
          <cell r="AI166" t="str">
            <v>DAERAH ISTIMEWA ACEH</v>
          </cell>
        </row>
        <row r="167">
          <cell r="AG167" t="str">
            <v>LOKASI</v>
          </cell>
          <cell r="AI167" t="str">
            <v>KABUPATEN ACEH BARAT</v>
          </cell>
        </row>
        <row r="168">
          <cell r="AG168" t="str">
            <v>TH. ANGG.</v>
          </cell>
          <cell r="AI168">
            <v>2000</v>
          </cell>
        </row>
        <row r="170">
          <cell r="AG170" t="str">
            <v>MATA</v>
          </cell>
          <cell r="AL170" t="str">
            <v>HARGA</v>
          </cell>
          <cell r="AM170" t="str">
            <v>JUMLAH</v>
          </cell>
        </row>
        <row r="171">
          <cell r="AG171" t="str">
            <v>PEMBA-</v>
          </cell>
          <cell r="AI171" t="str">
            <v>U R A I A N</v>
          </cell>
          <cell r="AJ171" t="str">
            <v>SATUAN</v>
          </cell>
          <cell r="AK171" t="str">
            <v>PERKIRAAN</v>
          </cell>
          <cell r="AL171" t="str">
            <v>SATUAN</v>
          </cell>
          <cell r="AM171" t="str">
            <v>HARGA-HARGA</v>
          </cell>
        </row>
        <row r="172">
          <cell r="AG172" t="str">
            <v>YARAN</v>
          </cell>
          <cell r="AK172" t="str">
            <v>KUANTITAS</v>
          </cell>
          <cell r="AL172" t="str">
            <v>( Rp.)</v>
          </cell>
          <cell r="AM172" t="str">
            <v>PENAWARAN (Rp)</v>
          </cell>
        </row>
        <row r="173">
          <cell r="AG173" t="str">
            <v>a</v>
          </cell>
          <cell r="AI173" t="str">
            <v>b</v>
          </cell>
          <cell r="AJ173" t="str">
            <v>c</v>
          </cell>
          <cell r="AK173" t="str">
            <v>d</v>
          </cell>
          <cell r="AL173" t="str">
            <v>e</v>
          </cell>
          <cell r="AM173" t="str">
            <v>f = (d x e)</v>
          </cell>
        </row>
        <row r="175">
          <cell r="AG175" t="str">
            <v>BAB. 6</v>
          </cell>
          <cell r="AI175" t="str">
            <v xml:space="preserve">  PERKERASAN ASPAL</v>
          </cell>
        </row>
        <row r="177">
          <cell r="AG177" t="str">
            <v>6.1 (1)</v>
          </cell>
          <cell r="AI177" t="str">
            <v xml:space="preserve">  Lapis Resap Pengikat</v>
          </cell>
          <cell r="AJ177" t="str">
            <v>Liter</v>
          </cell>
          <cell r="AK177">
            <v>8100</v>
          </cell>
          <cell r="AL177">
            <v>2267</v>
          </cell>
          <cell r="AM177">
            <v>18362700</v>
          </cell>
        </row>
        <row r="179">
          <cell r="AG179" t="str">
            <v>6.1 (2)</v>
          </cell>
          <cell r="AI179" t="str">
            <v xml:space="preserve">  Lapis Perekat</v>
          </cell>
          <cell r="AJ179" t="str">
            <v>Liter</v>
          </cell>
        </row>
        <row r="181">
          <cell r="AG181" t="str">
            <v>6.2 (1)</v>
          </cell>
          <cell r="AI181" t="str">
            <v xml:space="preserve">  Laburan permukaan aspal satu lapis (Burtu)</v>
          </cell>
          <cell r="AJ181" t="str">
            <v>M2</v>
          </cell>
        </row>
        <row r="183">
          <cell r="AG183" t="str">
            <v>6.2 (2)</v>
          </cell>
          <cell r="AI183" t="str">
            <v xml:space="preserve">  Laburan permukaan aspal dua lapis (Burda)</v>
          </cell>
          <cell r="AJ183" t="str">
            <v>M2</v>
          </cell>
        </row>
        <row r="185">
          <cell r="AG185" t="str">
            <v>6.2 (3)</v>
          </cell>
          <cell r="AI185" t="str">
            <v xml:space="preserve">  Material Aspal untuk laburan permukaan</v>
          </cell>
          <cell r="AJ185" t="str">
            <v>Liter</v>
          </cell>
        </row>
        <row r="187">
          <cell r="AG187" t="str">
            <v>6.3 (3)</v>
          </cell>
          <cell r="AI187" t="str">
            <v xml:space="preserve">  Lapis permukaan : HRS</v>
          </cell>
          <cell r="AJ187" t="str">
            <v>M2</v>
          </cell>
        </row>
        <row r="189">
          <cell r="AG189" t="str">
            <v>6.3 (4)</v>
          </cell>
          <cell r="AI189" t="str">
            <v xml:space="preserve">  Lapis permukaan : AC</v>
          </cell>
          <cell r="AJ189" t="str">
            <v>M2</v>
          </cell>
        </row>
        <row r="191">
          <cell r="AG191" t="str">
            <v>6.3 (5)</v>
          </cell>
          <cell r="AI191" t="str">
            <v xml:space="preserve">  Asphalt Treated Base : ATB</v>
          </cell>
          <cell r="AJ191" t="str">
            <v>M3</v>
          </cell>
          <cell r="AK191">
            <v>360</v>
          </cell>
          <cell r="AL191">
            <v>610226</v>
          </cell>
          <cell r="AM191">
            <v>219681360</v>
          </cell>
        </row>
        <row r="193">
          <cell r="AG193" t="str">
            <v>6.3 (5)a</v>
          </cell>
          <cell r="AI193" t="str">
            <v xml:space="preserve">  Asphalt Treated Base Leveling : ATBL</v>
          </cell>
          <cell r="AJ193" t="str">
            <v>Ton</v>
          </cell>
        </row>
        <row r="197">
          <cell r="AI197" t="str">
            <v xml:space="preserve">  Sub Total Harga Bab. 6 ( Dipindahkan ke Rekapitulasi Daftar Kuantitas dan Harga )</v>
          </cell>
          <cell r="AM197">
            <v>238044060</v>
          </cell>
        </row>
        <row r="200">
          <cell r="AG200" t="str">
            <v>BAB. 7</v>
          </cell>
          <cell r="AI200" t="str">
            <v xml:space="preserve">  S T R U K T U R</v>
          </cell>
        </row>
        <row r="202">
          <cell r="AG202" t="str">
            <v>7.1 (1)</v>
          </cell>
          <cell r="AI202" t="str">
            <v xml:space="preserve">  Beton Struktur Kelas K-225</v>
          </cell>
          <cell r="AJ202" t="str">
            <v>M3</v>
          </cell>
        </row>
        <row r="204">
          <cell r="AG204" t="str">
            <v>7.1 (2)</v>
          </cell>
          <cell r="AI204" t="str">
            <v xml:space="preserve">  Beton Tak Bertulang</v>
          </cell>
          <cell r="AJ204" t="str">
            <v>M3</v>
          </cell>
        </row>
        <row r="206">
          <cell r="AG206" t="str">
            <v>7.2</v>
          </cell>
          <cell r="AI206" t="str">
            <v xml:space="preserve">  Baja Tulangan</v>
          </cell>
          <cell r="AJ206" t="str">
            <v>Kg</v>
          </cell>
        </row>
        <row r="208">
          <cell r="AG208" t="str">
            <v>7.4</v>
          </cell>
          <cell r="AI208" t="str">
            <v xml:space="preserve">  Pasangan Batu (Stone Masonry)</v>
          </cell>
          <cell r="AJ208" t="str">
            <v>M3</v>
          </cell>
        </row>
        <row r="210">
          <cell r="AG210" t="str">
            <v>7.5 (1)</v>
          </cell>
          <cell r="AI210" t="str">
            <v xml:space="preserve">  Pas. Batu dengan isian (Grouted Rip Rap)</v>
          </cell>
          <cell r="AJ210" t="str">
            <v>M3</v>
          </cell>
        </row>
        <row r="212">
          <cell r="AG212" t="str">
            <v>7.5 (2)</v>
          </cell>
          <cell r="AI212" t="str">
            <v xml:space="preserve">  Pas. Batu Kosong (Non Grouted Rip Rap)</v>
          </cell>
          <cell r="AJ212" t="str">
            <v>M3</v>
          </cell>
        </row>
        <row r="214">
          <cell r="AG214" t="str">
            <v>7.5 (3)</v>
          </cell>
          <cell r="AI214" t="str">
            <v xml:space="preserve">  Bronjong (Gabion)</v>
          </cell>
          <cell r="AJ214" t="str">
            <v>M3</v>
          </cell>
        </row>
        <row r="216">
          <cell r="AG216" t="str">
            <v>7.5 (4)</v>
          </cell>
          <cell r="AI216" t="str">
            <v xml:space="preserve">  Geotektil untuk Perkuatan Tanah</v>
          </cell>
          <cell r="AJ216" t="str">
            <v>M2</v>
          </cell>
        </row>
        <row r="218">
          <cell r="AG218" t="str">
            <v>7.7 (1)</v>
          </cell>
          <cell r="AI218" t="str">
            <v xml:space="preserve">  Pasangan Struktur Jembatan Semi Per-</v>
          </cell>
          <cell r="AJ218" t="str">
            <v>Kg</v>
          </cell>
        </row>
        <row r="219">
          <cell r="AI219" t="str">
            <v xml:space="preserve">  manen</v>
          </cell>
        </row>
        <row r="221">
          <cell r="AG221" t="str">
            <v>7.7 (2)</v>
          </cell>
          <cell r="AI221" t="str">
            <v xml:space="preserve">  Pengangkutan Komponen Jembatan</v>
          </cell>
          <cell r="AJ221" t="str">
            <v>Ls</v>
          </cell>
        </row>
        <row r="222">
          <cell r="AG222" t="str">
            <v>7.7 (3)</v>
          </cell>
          <cell r="AI222" t="str">
            <v xml:space="preserve">  Boulder</v>
          </cell>
          <cell r="AJ222" t="str">
            <v>m3</v>
          </cell>
        </row>
        <row r="225">
          <cell r="AI225" t="str">
            <v xml:space="preserve">  Sub Total Harga Bab. 7 ( Dipindahkan ke Rekapitulasi Daftar Kuantitas dan Harga )</v>
          </cell>
          <cell r="AM225">
            <v>0</v>
          </cell>
        </row>
        <row r="243">
          <cell r="AG243" t="str">
            <v>DAFTAR KUANTITAS DAN HARGA</v>
          </cell>
        </row>
        <row r="245">
          <cell r="AG245" t="str">
            <v>PENAWAR</v>
          </cell>
          <cell r="AH245" t="str">
            <v>:</v>
          </cell>
          <cell r="AI245" t="str">
            <v>CV. MANDIRI KARYA UTAMA</v>
          </cell>
        </row>
        <row r="246">
          <cell r="AG246" t="str">
            <v>PROYEK</v>
          </cell>
          <cell r="AH246" t="str">
            <v>:</v>
          </cell>
          <cell r="AI246" t="str">
            <v>PENINGKATAN JALAN DAN PENGGANTIAN JEMBATAN DPU CAB. VI ACEH BARAT</v>
          </cell>
        </row>
        <row r="247">
          <cell r="AG247" t="str">
            <v>PEKERJAAN</v>
          </cell>
          <cell r="AH247" t="str">
            <v>:</v>
          </cell>
          <cell r="AI247" t="str">
            <v>PENINGKATAN JALAN KUALA TUHA - LAMIE, KM. 45+000 s/d 47+000</v>
          </cell>
        </row>
        <row r="248">
          <cell r="AG248" t="str">
            <v>PROPINSI</v>
          </cell>
          <cell r="AH248" t="str">
            <v>:</v>
          </cell>
          <cell r="AI248" t="str">
            <v>DAERAH ISTIMEWA ACEH</v>
          </cell>
        </row>
        <row r="249">
          <cell r="AG249" t="str">
            <v>LOKASI</v>
          </cell>
          <cell r="AH249" t="str">
            <v>:</v>
          </cell>
          <cell r="AI249" t="str">
            <v>KABUPATEN ACEH BARAT</v>
          </cell>
        </row>
        <row r="250">
          <cell r="AG250" t="str">
            <v>TH. ANGG.</v>
          </cell>
          <cell r="AH250" t="str">
            <v>:</v>
          </cell>
          <cell r="AI250">
            <v>2000</v>
          </cell>
        </row>
        <row r="252">
          <cell r="AG252" t="str">
            <v>MATA</v>
          </cell>
          <cell r="AL252" t="str">
            <v>HARGA</v>
          </cell>
          <cell r="AM252" t="str">
            <v>JUMLAH</v>
          </cell>
        </row>
        <row r="253">
          <cell r="AG253" t="str">
            <v>PEMBA-</v>
          </cell>
          <cell r="AI253" t="str">
            <v>U R A I A N</v>
          </cell>
          <cell r="AJ253" t="str">
            <v>SATUAN</v>
          </cell>
          <cell r="AK253" t="str">
            <v>PERKIRAAN</v>
          </cell>
          <cell r="AL253" t="str">
            <v>SATUAN</v>
          </cell>
          <cell r="AM253" t="str">
            <v>HARGA-HARGA</v>
          </cell>
        </row>
        <row r="254">
          <cell r="AG254" t="str">
            <v>YARAN</v>
          </cell>
          <cell r="AK254" t="str">
            <v>KUANTITAS</v>
          </cell>
          <cell r="AL254" t="str">
            <v>( Rp.)</v>
          </cell>
          <cell r="AM254" t="str">
            <v>PENAWARAN (Rp)</v>
          </cell>
        </row>
        <row r="255">
          <cell r="AG255" t="str">
            <v>a</v>
          </cell>
          <cell r="AI255" t="str">
            <v>b</v>
          </cell>
          <cell r="AJ255" t="str">
            <v>c</v>
          </cell>
          <cell r="AK255" t="str">
            <v>d</v>
          </cell>
          <cell r="AL255" t="str">
            <v>e</v>
          </cell>
          <cell r="AM255" t="str">
            <v>f = (d x e)</v>
          </cell>
        </row>
        <row r="258">
          <cell r="AG258" t="str">
            <v>BAB. 8</v>
          </cell>
          <cell r="AI258" t="str">
            <v xml:space="preserve">  PERKUATAN DAN PEKERJAAN MINOR</v>
          </cell>
        </row>
        <row r="260">
          <cell r="AG260" t="str">
            <v>8.1 (1)</v>
          </cell>
          <cell r="AI260" t="str">
            <v xml:space="preserve">  Lapis Pondasi Agregat Kelas A untuk</v>
          </cell>
          <cell r="AJ260" t="str">
            <v>M3</v>
          </cell>
        </row>
        <row r="261">
          <cell r="AI261" t="str">
            <v xml:space="preserve">  Pekerjaan  Minor</v>
          </cell>
        </row>
        <row r="263">
          <cell r="AG263" t="str">
            <v>8.1 (2)</v>
          </cell>
          <cell r="AI263" t="str">
            <v xml:space="preserve">  Lapis Pondasi Agregat Kelas B untuk</v>
          </cell>
          <cell r="AJ263" t="str">
            <v>M3</v>
          </cell>
        </row>
        <row r="264">
          <cell r="AI264" t="str">
            <v xml:space="preserve">  Pekerjaan  Minor</v>
          </cell>
        </row>
        <row r="266">
          <cell r="AG266" t="str">
            <v>8.1 (3)</v>
          </cell>
          <cell r="AI266" t="str">
            <v xml:space="preserve">  Agregat untuk Lapis Pondasi Jalan Tanpa</v>
          </cell>
          <cell r="AJ266" t="str">
            <v>M3</v>
          </cell>
        </row>
        <row r="267">
          <cell r="AI267" t="str">
            <v xml:space="preserve">  Penutup untuk Pekerjaan Minor</v>
          </cell>
        </row>
        <row r="269">
          <cell r="AG269" t="str">
            <v>8.1 (4)</v>
          </cell>
          <cell r="AI269" t="str">
            <v xml:space="preserve">  Waterbound Macadam untuk Pekerjaan</v>
          </cell>
          <cell r="AJ269" t="str">
            <v>M3</v>
          </cell>
        </row>
        <row r="270">
          <cell r="AI270" t="str">
            <v xml:space="preserve">  Minor</v>
          </cell>
        </row>
        <row r="272">
          <cell r="AG272" t="str">
            <v>8.1 (5)</v>
          </cell>
          <cell r="AI272" t="str">
            <v xml:space="preserve">  Campuran Aspal Panas untuk Pekerjaan</v>
          </cell>
          <cell r="AJ272" t="str">
            <v>M3</v>
          </cell>
        </row>
        <row r="273">
          <cell r="AI273" t="str">
            <v xml:space="preserve">  Minor</v>
          </cell>
        </row>
        <row r="275">
          <cell r="AG275" t="str">
            <v>8.1 (6)</v>
          </cell>
          <cell r="AI275" t="str">
            <v xml:space="preserve">  Lasbutag atau Latasbusir untuk Pekerjaan</v>
          </cell>
          <cell r="AJ275" t="str">
            <v>M3</v>
          </cell>
        </row>
        <row r="276">
          <cell r="AI276" t="str">
            <v xml:space="preserve">  Minor</v>
          </cell>
        </row>
        <row r="278">
          <cell r="AG278" t="str">
            <v>8.1 (7)</v>
          </cell>
          <cell r="AI278" t="str">
            <v xml:space="preserve">  Penetrasi   Macadam   untuk   Pekerjaan</v>
          </cell>
          <cell r="AJ278" t="str">
            <v>M3</v>
          </cell>
        </row>
        <row r="279">
          <cell r="AI279" t="str">
            <v xml:space="preserve">  Minor</v>
          </cell>
        </row>
        <row r="281">
          <cell r="AG281" t="str">
            <v>8.1 (8)</v>
          </cell>
          <cell r="AI281" t="str">
            <v xml:space="preserve">  Campuran Aspal Dingin untuk  Pekerjaan</v>
          </cell>
          <cell r="AJ281" t="str">
            <v>M3</v>
          </cell>
        </row>
        <row r="282">
          <cell r="AI282" t="str">
            <v xml:space="preserve">  Minor</v>
          </cell>
        </row>
        <row r="284">
          <cell r="AG284" t="str">
            <v>8.1 (9)</v>
          </cell>
          <cell r="AI284" t="str">
            <v xml:space="preserve">  Bitumen untuk Penutup Retak-retak</v>
          </cell>
          <cell r="AJ284" t="str">
            <v>Liter</v>
          </cell>
        </row>
        <row r="286">
          <cell r="AG286" t="str">
            <v>8.2</v>
          </cell>
          <cell r="AI286" t="str">
            <v xml:space="preserve">  Galian untuk Bahu Jalan dan Pekerjaan</v>
          </cell>
          <cell r="AJ286" t="str">
            <v>M2</v>
          </cell>
        </row>
        <row r="287">
          <cell r="AI287" t="str">
            <v xml:space="preserve">  minor lainnya</v>
          </cell>
        </row>
        <row r="289">
          <cell r="AG289" t="str">
            <v>8.3</v>
          </cell>
          <cell r="AI289" t="str">
            <v xml:space="preserve">  Stabilisasi dengan Tanaman</v>
          </cell>
          <cell r="AJ289" t="str">
            <v>M2</v>
          </cell>
        </row>
        <row r="291">
          <cell r="AG291" t="str">
            <v>8.4 (1)</v>
          </cell>
          <cell r="AI291" t="str">
            <v xml:space="preserve">  Marka Jalan</v>
          </cell>
          <cell r="AJ291" t="str">
            <v>M2</v>
          </cell>
        </row>
        <row r="293">
          <cell r="AG293" t="str">
            <v>8.4 (2)</v>
          </cell>
          <cell r="AI293" t="str">
            <v xml:space="preserve">  Rambu Jalan</v>
          </cell>
          <cell r="AJ293" t="str">
            <v>Buah</v>
          </cell>
        </row>
        <row r="295">
          <cell r="AG295" t="str">
            <v>8.4 (3)</v>
          </cell>
          <cell r="AI295" t="str">
            <v xml:space="preserve">  Patok Pengarah</v>
          </cell>
          <cell r="AJ295" t="str">
            <v>Buah</v>
          </cell>
        </row>
        <row r="297">
          <cell r="AG297" t="str">
            <v>8.4 (4)</v>
          </cell>
          <cell r="AI297" t="str">
            <v xml:space="preserve">  Patok Kilometer</v>
          </cell>
          <cell r="AJ297" t="str">
            <v>Buah</v>
          </cell>
        </row>
        <row r="299">
          <cell r="AG299" t="str">
            <v>8.4 (5)</v>
          </cell>
          <cell r="AI299" t="str">
            <v xml:space="preserve">  Rel  Pengaman</v>
          </cell>
          <cell r="AJ299" t="str">
            <v>M'</v>
          </cell>
        </row>
        <row r="301">
          <cell r="AG301" t="str">
            <v>8.5 (1)</v>
          </cell>
          <cell r="AI301" t="str">
            <v xml:space="preserve">  Perkuatan Lantai Jembatan Beton</v>
          </cell>
          <cell r="AJ301" t="str">
            <v>M2</v>
          </cell>
        </row>
        <row r="303">
          <cell r="AG303" t="str">
            <v>8.5 (2)</v>
          </cell>
          <cell r="AI303" t="str">
            <v xml:space="preserve">  Perkuatan Lantai Jembatan Kayu</v>
          </cell>
          <cell r="AJ303" t="str">
            <v>M2</v>
          </cell>
        </row>
        <row r="305">
          <cell r="AG305" t="str">
            <v>8.5 (3)</v>
          </cell>
          <cell r="AI305" t="str">
            <v xml:space="preserve">  Pengecatan Jembatan Struktur Baja</v>
          </cell>
          <cell r="AJ305" t="str">
            <v>M2</v>
          </cell>
        </row>
        <row r="309">
          <cell r="AI309" t="str">
            <v xml:space="preserve">  Sub Total Harga Bab. 8 ( Dipindahkan ke Rekapitulasi Daftar Kuantitas dan Harga )</v>
          </cell>
          <cell r="AM309">
            <v>0</v>
          </cell>
        </row>
        <row r="325">
          <cell r="AG325" t="str">
            <v>DAFTAR KUANTITAS DAN HARGA</v>
          </cell>
        </row>
        <row r="327">
          <cell r="AG327" t="str">
            <v>PENAWAR</v>
          </cell>
          <cell r="AH327" t="str">
            <v>:</v>
          </cell>
          <cell r="AI327" t="str">
            <v>CV. MANDIRI KARYA UTAMA</v>
          </cell>
        </row>
        <row r="328">
          <cell r="AG328" t="str">
            <v>PROYEK</v>
          </cell>
          <cell r="AH328" t="str">
            <v>:</v>
          </cell>
          <cell r="AI328" t="str">
            <v>PENINGKATAN JALAN DAN PENGGANTIAN JEMBATAN DPU CAB. VI ACEH BARAT</v>
          </cell>
        </row>
        <row r="329">
          <cell r="AG329" t="str">
            <v>PEKERJAAN</v>
          </cell>
          <cell r="AH329" t="str">
            <v>:</v>
          </cell>
          <cell r="AI329" t="str">
            <v>PENINGKATAN JALAN KUALA TUHA - LAMIE, KM. 45+000 s/d 47+000</v>
          </cell>
        </row>
        <row r="330">
          <cell r="AG330" t="str">
            <v>PROPINSI</v>
          </cell>
          <cell r="AH330" t="str">
            <v>:</v>
          </cell>
          <cell r="AI330" t="str">
            <v>DAERAH ISTIMEWA ACEH</v>
          </cell>
        </row>
        <row r="331">
          <cell r="AG331" t="str">
            <v>LOKASI</v>
          </cell>
          <cell r="AH331" t="str">
            <v>:</v>
          </cell>
          <cell r="AI331" t="str">
            <v>KABUPATEN ACEH BARAT</v>
          </cell>
        </row>
        <row r="332">
          <cell r="AG332" t="str">
            <v>TH. ANGG.</v>
          </cell>
          <cell r="AH332" t="str">
            <v>:</v>
          </cell>
          <cell r="AI332">
            <v>2000</v>
          </cell>
        </row>
        <row r="334">
          <cell r="AG334" t="str">
            <v>MATA</v>
          </cell>
          <cell r="AL334" t="str">
            <v>HARGA</v>
          </cell>
          <cell r="AM334" t="str">
            <v>JUMLAH</v>
          </cell>
        </row>
        <row r="335">
          <cell r="AG335" t="str">
            <v>PEMBA-</v>
          </cell>
          <cell r="AI335" t="str">
            <v>U R A I A N</v>
          </cell>
          <cell r="AJ335" t="str">
            <v>SATUAN</v>
          </cell>
          <cell r="AK335" t="str">
            <v>PERKIRAAN</v>
          </cell>
          <cell r="AL335" t="str">
            <v>SATUAN</v>
          </cell>
          <cell r="AM335" t="str">
            <v>HARGA-HARGA</v>
          </cell>
        </row>
        <row r="336">
          <cell r="AG336" t="str">
            <v>YARAN</v>
          </cell>
          <cell r="AK336" t="str">
            <v>KUANTITAS</v>
          </cell>
          <cell r="AL336" t="str">
            <v>( Rp.)</v>
          </cell>
          <cell r="AM336" t="str">
            <v>PENAWARAN (Rp)</v>
          </cell>
        </row>
        <row r="337">
          <cell r="AG337" t="str">
            <v>a</v>
          </cell>
          <cell r="AI337" t="str">
            <v>b</v>
          </cell>
          <cell r="AJ337" t="str">
            <v>c</v>
          </cell>
          <cell r="AK337" t="str">
            <v>d</v>
          </cell>
          <cell r="AL337" t="str">
            <v>e</v>
          </cell>
          <cell r="AM337" t="str">
            <v>f = (d x e)</v>
          </cell>
        </row>
        <row r="339">
          <cell r="AG339" t="str">
            <v>BAB. 9</v>
          </cell>
          <cell r="AI339" t="str">
            <v xml:space="preserve">  PEKERJAAN HARIAN</v>
          </cell>
        </row>
        <row r="341">
          <cell r="AG341" t="str">
            <v>9.1</v>
          </cell>
          <cell r="AI341" t="str">
            <v xml:space="preserve">  M  a  n  d  o  r</v>
          </cell>
          <cell r="AJ341" t="str">
            <v>Jam</v>
          </cell>
        </row>
        <row r="343">
          <cell r="AG343" t="str">
            <v>9.2</v>
          </cell>
          <cell r="AI343" t="str">
            <v xml:space="preserve">  Pekerja Biasa</v>
          </cell>
          <cell r="AJ343" t="str">
            <v>Jam</v>
          </cell>
        </row>
        <row r="345">
          <cell r="AG345" t="str">
            <v>9.3</v>
          </cell>
          <cell r="AI345" t="str">
            <v xml:space="preserve">  Tukang Kayu, Tukang Besi, dsb.</v>
          </cell>
          <cell r="AJ345" t="str">
            <v>Jam</v>
          </cell>
        </row>
        <row r="347">
          <cell r="AG347" t="str">
            <v>9.4</v>
          </cell>
          <cell r="AI347" t="str">
            <v xml:space="preserve">  Dump Truck, Kapasitas  3 - 4 m3</v>
          </cell>
          <cell r="AJ347" t="str">
            <v>Jam</v>
          </cell>
        </row>
        <row r="349">
          <cell r="AG349" t="str">
            <v>9.5</v>
          </cell>
          <cell r="AI349" t="str">
            <v xml:space="preserve">  Plat Bed Truck, Kapasitas  3 - 4 M3</v>
          </cell>
          <cell r="AJ349" t="str">
            <v>Jam</v>
          </cell>
        </row>
        <row r="351">
          <cell r="AG351" t="str">
            <v>9.6</v>
          </cell>
          <cell r="AI351" t="str">
            <v xml:space="preserve">  Water Tanker, Kapasitas 3000-4500 ltr</v>
          </cell>
          <cell r="AJ351" t="str">
            <v>Jam</v>
          </cell>
        </row>
        <row r="353">
          <cell r="AG353" t="str">
            <v>9.7</v>
          </cell>
          <cell r="AI353" t="str">
            <v xml:space="preserve">  Bulldozer, Kapasitas 100-150 HP</v>
          </cell>
          <cell r="AJ353" t="str">
            <v>Jam</v>
          </cell>
        </row>
        <row r="355">
          <cell r="AG355" t="str">
            <v>9.8</v>
          </cell>
          <cell r="AI355" t="str">
            <v xml:space="preserve">  Motor Greader, Kapasitas 75 - 100 HP</v>
          </cell>
          <cell r="AJ355" t="str">
            <v>Jam</v>
          </cell>
        </row>
        <row r="357">
          <cell r="AG357" t="str">
            <v>9.9</v>
          </cell>
          <cell r="AI357" t="str">
            <v xml:space="preserve">  Wheel Loader, Kapasitas 1,00 - 1,60 m3</v>
          </cell>
          <cell r="AJ357" t="str">
            <v>Jam</v>
          </cell>
        </row>
        <row r="359">
          <cell r="AG359" t="str">
            <v>9.10</v>
          </cell>
          <cell r="AI359" t="str">
            <v xml:space="preserve">  Track Loader, Kapasitas 75 - 100 HP</v>
          </cell>
          <cell r="AJ359" t="str">
            <v>Jam</v>
          </cell>
        </row>
        <row r="361">
          <cell r="AG361" t="str">
            <v>9.11</v>
          </cell>
          <cell r="AI361" t="str">
            <v xml:space="preserve">  Excavator, Kapasitas 80 - 140 HP</v>
          </cell>
          <cell r="AJ361" t="str">
            <v>Jam</v>
          </cell>
        </row>
        <row r="363">
          <cell r="AG363" t="str">
            <v>9.12</v>
          </cell>
          <cell r="AI363" t="str">
            <v xml:space="preserve">  Crane, Kapasitas 10 - 15 HP</v>
          </cell>
          <cell r="AJ363" t="str">
            <v>Jam</v>
          </cell>
        </row>
        <row r="365">
          <cell r="AG365" t="str">
            <v>9.13</v>
          </cell>
          <cell r="AI365" t="str">
            <v xml:space="preserve">  Steel Wheel Roller,  6 - 9 ton</v>
          </cell>
          <cell r="AJ365" t="str">
            <v>Jam</v>
          </cell>
        </row>
        <row r="367">
          <cell r="AG367" t="str">
            <v>9.14</v>
          </cell>
          <cell r="AI367" t="str">
            <v xml:space="preserve">  Vibratory Roller,  5 - 8 ton</v>
          </cell>
          <cell r="AJ367" t="str">
            <v>Jam</v>
          </cell>
        </row>
        <row r="369">
          <cell r="AG369" t="str">
            <v>9.15</v>
          </cell>
          <cell r="AI369" t="str">
            <v xml:space="preserve">  Vibratory Compactor, Kap. 1.5 - 3.0 HP </v>
          </cell>
          <cell r="AJ369" t="str">
            <v>Jam</v>
          </cell>
        </row>
        <row r="371">
          <cell r="AG371" t="str">
            <v>9.16</v>
          </cell>
          <cell r="AI371" t="str">
            <v xml:space="preserve">  Pneumatic Tyred Roller, Kap. 8 - 10 Ton</v>
          </cell>
          <cell r="AJ371" t="str">
            <v>Jam</v>
          </cell>
        </row>
        <row r="373">
          <cell r="AG373" t="str">
            <v>9.17</v>
          </cell>
          <cell r="AI373" t="str">
            <v xml:space="preserve">  Compressor, Kapasitas 4000-6500 l/jam</v>
          </cell>
          <cell r="AJ373" t="str">
            <v>Jam</v>
          </cell>
        </row>
        <row r="375">
          <cell r="AG375" t="str">
            <v>9.18</v>
          </cell>
          <cell r="AI375" t="str">
            <v xml:space="preserve">  Concrete Mixer, Kap. 0,3 - 0,6 m3</v>
          </cell>
          <cell r="AJ375" t="str">
            <v>Jam</v>
          </cell>
        </row>
        <row r="377">
          <cell r="AG377" t="str">
            <v>9.19</v>
          </cell>
          <cell r="AI377" t="str">
            <v xml:space="preserve">  Water Pump, Kap. 70 - 100 mm</v>
          </cell>
          <cell r="AJ377" t="str">
            <v>Jam</v>
          </cell>
        </row>
        <row r="385">
          <cell r="AI385" t="str">
            <v xml:space="preserve">  Sub Total Harga Bab. 9 ( Dipindahkan ke Rekapitulasi Daftar Kuantitas dan Harga )</v>
          </cell>
        </row>
        <row r="407">
          <cell r="AG407" t="str">
            <v>DAFTAR KUANTITAS DAN HARGA</v>
          </cell>
        </row>
        <row r="409">
          <cell r="AG409" t="str">
            <v>PENAWAR</v>
          </cell>
          <cell r="AI409" t="str">
            <v>CV. MANDIRI KARYA UTAMA</v>
          </cell>
        </row>
        <row r="410">
          <cell r="AG410" t="str">
            <v>PROYEK</v>
          </cell>
          <cell r="AI410" t="str">
            <v>PENINGKATAN JALAN DAN PENGGANTIAN JEMBATAN DPU CAB. VI ACEH BARAT</v>
          </cell>
        </row>
        <row r="411">
          <cell r="AG411" t="str">
            <v>PEKERJAAN</v>
          </cell>
          <cell r="AI411" t="str">
            <v>PENINGKATAN JALAN KUALA TUHA - LAMIE, KM. 45+000 s/d 47+000</v>
          </cell>
        </row>
        <row r="412">
          <cell r="AG412" t="str">
            <v>PROPINSI</v>
          </cell>
          <cell r="AI412" t="str">
            <v>DAERAH ISTIMEWA ACEH</v>
          </cell>
        </row>
        <row r="413">
          <cell r="AG413" t="str">
            <v>LOKASI</v>
          </cell>
          <cell r="AI413" t="str">
            <v>KABUPATEN ACEH BARAT</v>
          </cell>
        </row>
        <row r="414">
          <cell r="AG414" t="str">
            <v>TH. ANGG.</v>
          </cell>
          <cell r="AI414">
            <v>2000</v>
          </cell>
        </row>
        <row r="416">
          <cell r="AG416" t="str">
            <v>MATA</v>
          </cell>
          <cell r="AL416" t="str">
            <v>HARGA</v>
          </cell>
          <cell r="AM416" t="str">
            <v>JUMLAH</v>
          </cell>
        </row>
        <row r="417">
          <cell r="AG417" t="str">
            <v>PEMBA-</v>
          </cell>
          <cell r="AI417" t="str">
            <v>U R A I A N</v>
          </cell>
          <cell r="AJ417" t="str">
            <v>SATUAN</v>
          </cell>
          <cell r="AK417" t="str">
            <v>PERKIRAAN</v>
          </cell>
          <cell r="AL417" t="str">
            <v>SATUAN</v>
          </cell>
          <cell r="AM417" t="str">
            <v>HARGA-HARGA</v>
          </cell>
        </row>
        <row r="418">
          <cell r="AG418" t="str">
            <v>YARAN</v>
          </cell>
          <cell r="AK418" t="str">
            <v>KUANTITAS</v>
          </cell>
          <cell r="AL418" t="str">
            <v>( Rp.)</v>
          </cell>
          <cell r="AM418" t="str">
            <v>PENAWARAN (Rp)</v>
          </cell>
        </row>
        <row r="419">
          <cell r="AG419" t="str">
            <v>a</v>
          </cell>
          <cell r="AI419" t="str">
            <v>b</v>
          </cell>
          <cell r="AJ419" t="str">
            <v>c</v>
          </cell>
          <cell r="AK419" t="str">
            <v>d</v>
          </cell>
          <cell r="AL419" t="str">
            <v>e</v>
          </cell>
          <cell r="AM419" t="str">
            <v>f = (d x e)</v>
          </cell>
        </row>
        <row r="422">
          <cell r="AG422" t="str">
            <v>BAB. 10</v>
          </cell>
          <cell r="AI422" t="str">
            <v xml:space="preserve">  PEKERJAAN PEMELIHARAAN RUTIN</v>
          </cell>
        </row>
        <row r="424">
          <cell r="AG424" t="str">
            <v>10.1 (1)</v>
          </cell>
          <cell r="AI424" t="str">
            <v xml:space="preserve">  Pemeliharaan Rutin Perkerasan</v>
          </cell>
          <cell r="AJ424" t="str">
            <v>Ls</v>
          </cell>
        </row>
        <row r="426">
          <cell r="AG426" t="str">
            <v>10.1 (2)</v>
          </cell>
          <cell r="AI426" t="str">
            <v xml:space="preserve">  Pemeliharaan Rutin Bahu Jalan</v>
          </cell>
          <cell r="AJ426" t="str">
            <v>Ls</v>
          </cell>
        </row>
        <row r="428">
          <cell r="AG428" t="str">
            <v>10.1 (3)</v>
          </cell>
          <cell r="AI428" t="str">
            <v xml:space="preserve">  Pemeliharaan Rutin Selokan, Saluaran Air,</v>
          </cell>
          <cell r="AJ428" t="str">
            <v>Ls</v>
          </cell>
        </row>
        <row r="429">
          <cell r="AI429" t="str">
            <v xml:space="preserve">  Pemotongan dan Urugan</v>
          </cell>
        </row>
        <row r="431">
          <cell r="AG431" t="str">
            <v>10.1 (4)</v>
          </cell>
          <cell r="AI431" t="str">
            <v xml:space="preserve">  Pemeliharaan Rutin Perlengkapan Jalan</v>
          </cell>
          <cell r="AJ431" t="str">
            <v>Ls</v>
          </cell>
        </row>
        <row r="433">
          <cell r="AG433" t="str">
            <v>10.1 (5)</v>
          </cell>
          <cell r="AI433" t="str">
            <v xml:space="preserve">  Pemeliharaan Rutin Jembatan</v>
          </cell>
          <cell r="AJ433" t="str">
            <v>Ls</v>
          </cell>
        </row>
        <row r="437">
          <cell r="AI437" t="str">
            <v xml:space="preserve">  Sub Total Harga Bab. 10 ( Dipindahkan ke Rekapitulasi Daftar Kuantitas dan Harga )</v>
          </cell>
          <cell r="AM437">
            <v>0</v>
          </cell>
        </row>
        <row r="649">
          <cell r="AN649">
            <v>76</v>
          </cell>
          <cell r="AP649">
            <v>9</v>
          </cell>
          <cell r="AR649">
            <v>43</v>
          </cell>
          <cell r="AS649">
            <v>9</v>
          </cell>
          <cell r="AT649">
            <v>15</v>
          </cell>
        </row>
        <row r="703">
          <cell r="W703" t="str">
            <v>ANALISA HARGA SATUAN MATA PEMBAYARAN UTAMA</v>
          </cell>
        </row>
        <row r="705">
          <cell r="W705" t="str">
            <v>NAMA PENAWAR</v>
          </cell>
          <cell r="Z705" t="str">
            <v>CV. MANDIRI KARYA UTAMA</v>
          </cell>
        </row>
        <row r="706">
          <cell r="W706" t="str">
            <v>PROYEK</v>
          </cell>
          <cell r="Z706" t="str">
            <v>PENINGKATAN JALAN DAN PENGGANTIAN JEMBATAN DPU CAB. VI ACEH BARAT</v>
          </cell>
        </row>
        <row r="707">
          <cell r="W707" t="str">
            <v>NO. MATA PEMBAYARAN</v>
          </cell>
          <cell r="Z707" t="str">
            <v>6.1(1)</v>
          </cell>
        </row>
        <row r="708">
          <cell r="W708" t="str">
            <v>JENIS PEKERJAAN</v>
          </cell>
          <cell r="Z708" t="str">
            <v>PRIME COAT</v>
          </cell>
        </row>
        <row r="709">
          <cell r="W709" t="str">
            <v>SATUAN PEKERJAAN</v>
          </cell>
          <cell r="Z709" t="str">
            <v>LITER</v>
          </cell>
        </row>
        <row r="710">
          <cell r="W710" t="str">
            <v>PRODUKSI HARIAN/JAM</v>
          </cell>
        </row>
        <row r="712">
          <cell r="W712" t="str">
            <v>NO.</v>
          </cell>
          <cell r="X712" t="str">
            <v>U  R  A  I  A  N</v>
          </cell>
          <cell r="AA712" t="str">
            <v>SATUAN</v>
          </cell>
          <cell r="AB712" t="str">
            <v>KUANTITAS</v>
          </cell>
          <cell r="AC712" t="str">
            <v>HARGA SATUAN</v>
          </cell>
          <cell r="AD712" t="str">
            <v>JUMLAH HARGA</v>
          </cell>
        </row>
        <row r="713">
          <cell r="AC713" t="str">
            <v>(Rp.)</v>
          </cell>
          <cell r="AD713" t="str">
            <v>(Rp.)</v>
          </cell>
        </row>
        <row r="716">
          <cell r="W716" t="str">
            <v xml:space="preserve">A. </v>
          </cell>
          <cell r="X716" t="str">
            <v xml:space="preserve">  TENAGA KERJA</v>
          </cell>
        </row>
        <row r="717">
          <cell r="W717" t="str">
            <v>1.</v>
          </cell>
          <cell r="X717" t="str">
            <v xml:space="preserve">  Pekerja</v>
          </cell>
          <cell r="AA717" t="str">
            <v>Jam</v>
          </cell>
          <cell r="AB717">
            <v>4.3029259896729774E-2</v>
          </cell>
          <cell r="AC717">
            <v>1700</v>
          </cell>
          <cell r="AD717">
            <v>73.150000000000006</v>
          </cell>
        </row>
        <row r="718">
          <cell r="W718" t="str">
            <v>2.</v>
          </cell>
          <cell r="X718" t="str">
            <v xml:space="preserve">  Mandor</v>
          </cell>
          <cell r="AA718" t="str">
            <v>Jam</v>
          </cell>
          <cell r="AB718">
            <v>4.3029259896729772E-3</v>
          </cell>
          <cell r="AC718">
            <v>1900</v>
          </cell>
          <cell r="AD718">
            <v>8.18</v>
          </cell>
        </row>
        <row r="719">
          <cell r="X719" t="str">
            <v xml:space="preserve"> </v>
          </cell>
        </row>
        <row r="722">
          <cell r="W722" t="str">
            <v>B.</v>
          </cell>
          <cell r="X722" t="str">
            <v xml:space="preserve">  B A H A N</v>
          </cell>
        </row>
        <row r="723">
          <cell r="W723" t="str">
            <v>1.</v>
          </cell>
          <cell r="X723" t="str">
            <v xml:space="preserve">  Aspal</v>
          </cell>
          <cell r="AA723" t="str">
            <v>kg</v>
          </cell>
          <cell r="AB723">
            <v>0.64200000000000002</v>
          </cell>
          <cell r="AC723">
            <v>2375</v>
          </cell>
          <cell r="AD723">
            <v>1524.75</v>
          </cell>
        </row>
        <row r="724">
          <cell r="W724" t="str">
            <v>2.</v>
          </cell>
          <cell r="X724" t="str">
            <v xml:space="preserve">  Kerosene</v>
          </cell>
          <cell r="AA724" t="str">
            <v>liter</v>
          </cell>
          <cell r="AB724">
            <v>0.48899999999999999</v>
          </cell>
          <cell r="AC724">
            <v>400</v>
          </cell>
          <cell r="AD724">
            <v>195.6</v>
          </cell>
        </row>
        <row r="730">
          <cell r="W730" t="str">
            <v>C.</v>
          </cell>
          <cell r="X730" t="str">
            <v xml:space="preserve">  PERALATAN</v>
          </cell>
        </row>
        <row r="731">
          <cell r="W731" t="str">
            <v>1.</v>
          </cell>
          <cell r="X731" t="str">
            <v xml:space="preserve">  Asphalt Sprayer</v>
          </cell>
          <cell r="AA731" t="str">
            <v>Jam</v>
          </cell>
          <cell r="AB731">
            <v>4.3029259896729772E-3</v>
          </cell>
          <cell r="AC731">
            <v>30795.644777777779</v>
          </cell>
          <cell r="AD731">
            <v>132.51</v>
          </cell>
        </row>
        <row r="732">
          <cell r="W732" t="str">
            <v>2.</v>
          </cell>
          <cell r="X732" t="str">
            <v xml:space="preserve">  Air Compressor</v>
          </cell>
          <cell r="AA732" t="str">
            <v>Jam</v>
          </cell>
          <cell r="AB732">
            <v>4.0160642570281121E-3</v>
          </cell>
          <cell r="AC732">
            <v>27488.716138915555</v>
          </cell>
          <cell r="AD732">
            <v>110.4</v>
          </cell>
        </row>
        <row r="733">
          <cell r="W733" t="str">
            <v>3.</v>
          </cell>
          <cell r="X733" t="str">
            <v xml:space="preserve">  Pick Up</v>
          </cell>
          <cell r="AA733" t="str">
            <v>Jam</v>
          </cell>
          <cell r="AB733">
            <v>4.0000000000000002E-4</v>
          </cell>
          <cell r="AC733">
            <v>41722.179083333336</v>
          </cell>
          <cell r="AD733">
            <v>16.690000000000001</v>
          </cell>
        </row>
        <row r="738">
          <cell r="W738" t="str">
            <v>D.</v>
          </cell>
          <cell r="X738" t="str">
            <v xml:space="preserve">  Jumlah ( A + B + C )</v>
          </cell>
          <cell r="AD738">
            <v>2061.2799999999997</v>
          </cell>
        </row>
        <row r="739">
          <cell r="W739" t="str">
            <v>E.</v>
          </cell>
          <cell r="X739" t="str">
            <v xml:space="preserve">  Biaya Umum dan Keuntungan = ( 10 % x D )</v>
          </cell>
          <cell r="AD739">
            <v>206.13</v>
          </cell>
        </row>
        <row r="740">
          <cell r="W740" t="str">
            <v>F.</v>
          </cell>
          <cell r="X740" t="str">
            <v xml:space="preserve">  Harga Satuan ( D + E )</v>
          </cell>
          <cell r="AD740">
            <v>2267.41</v>
          </cell>
        </row>
        <row r="741">
          <cell r="W741" t="str">
            <v>G.</v>
          </cell>
          <cell r="X741" t="str">
            <v xml:space="preserve">  DIBULATKAN</v>
          </cell>
          <cell r="AD741">
            <v>2267</v>
          </cell>
        </row>
        <row r="743">
          <cell r="W743" t="str">
            <v>Catatan :</v>
          </cell>
        </row>
        <row r="744">
          <cell r="W744" t="str">
            <v>-</v>
          </cell>
        </row>
        <row r="746">
          <cell r="W746" t="str">
            <v>-</v>
          </cell>
        </row>
        <row r="748">
          <cell r="W748" t="str">
            <v>-</v>
          </cell>
        </row>
        <row r="749">
          <cell r="W749" t="str">
            <v>-</v>
          </cell>
        </row>
        <row r="751">
          <cell r="W751" t="str">
            <v>-</v>
          </cell>
        </row>
        <row r="753">
          <cell r="W753" t="str">
            <v>-</v>
          </cell>
        </row>
        <row r="756">
          <cell r="W756" t="str">
            <v>-</v>
          </cell>
        </row>
        <row r="760">
          <cell r="AC760" t="str">
            <v>ACEH BESAR,   22  AGUSTUS  2000</v>
          </cell>
        </row>
        <row r="761">
          <cell r="AC761" t="str">
            <v>CV. MANDIRI KARYA UTAMA</v>
          </cell>
        </row>
        <row r="857">
          <cell r="W857" t="str">
            <v>ANALISA HARGA SATUAN MATA PEMBAYARAN UTAMA</v>
          </cell>
        </row>
        <row r="859">
          <cell r="W859" t="str">
            <v>NAMA PENAWAR</v>
          </cell>
          <cell r="Y859" t="str">
            <v>:</v>
          </cell>
          <cell r="Z859" t="str">
            <v>CV. MANDIRI KARYA UTAMA</v>
          </cell>
        </row>
        <row r="860">
          <cell r="W860" t="str">
            <v>PROYEK</v>
          </cell>
          <cell r="Y860" t="str">
            <v>:</v>
          </cell>
          <cell r="Z860" t="str">
            <v>PENINGKATAN JALAN DAN PENGGANTIAN JEMBATAN DPU CAB. VI ACEH BARAT</v>
          </cell>
        </row>
        <row r="861">
          <cell r="W861" t="str">
            <v>NO. MATA PEMBAYARAN</v>
          </cell>
          <cell r="Y861" t="str">
            <v>:</v>
          </cell>
          <cell r="Z861" t="str">
            <v>6.3(5)</v>
          </cell>
        </row>
        <row r="862">
          <cell r="W862" t="str">
            <v>JENIS PEKERJAAN</v>
          </cell>
          <cell r="Y862" t="str">
            <v>:</v>
          </cell>
          <cell r="Z862" t="str">
            <v>ASPHALT TREATED BASE (ATB)</v>
          </cell>
        </row>
        <row r="863">
          <cell r="W863" t="str">
            <v>SATUAN PEKERJAAN</v>
          </cell>
          <cell r="Y863" t="str">
            <v>:</v>
          </cell>
          <cell r="Z863" t="str">
            <v>m3</v>
          </cell>
        </row>
        <row r="864">
          <cell r="W864" t="str">
            <v>PRODUKSI HARIAN/JAM</v>
          </cell>
          <cell r="Y864" t="str">
            <v>:</v>
          </cell>
        </row>
        <row r="866">
          <cell r="W866" t="str">
            <v>NO.</v>
          </cell>
          <cell r="X866" t="str">
            <v>U  R  A  I  A  N</v>
          </cell>
          <cell r="AA866" t="str">
            <v>SATUAN</v>
          </cell>
          <cell r="AB866" t="str">
            <v>KUANTITAS</v>
          </cell>
          <cell r="AC866" t="str">
            <v>HARGA SATUAN</v>
          </cell>
          <cell r="AD866" t="str">
            <v>JUMLAH HARGA</v>
          </cell>
        </row>
        <row r="867">
          <cell r="AC867" t="str">
            <v>(Rp.)</v>
          </cell>
          <cell r="AD867" t="str">
            <v>(Rp.)</v>
          </cell>
        </row>
        <row r="869">
          <cell r="W869" t="str">
            <v xml:space="preserve">A. </v>
          </cell>
          <cell r="X869" t="str">
            <v xml:space="preserve">  TENAGA KERJA</v>
          </cell>
        </row>
        <row r="870">
          <cell r="W870" t="str">
            <v>1.</v>
          </cell>
          <cell r="X870" t="str">
            <v xml:space="preserve">  Pekerja</v>
          </cell>
          <cell r="AA870" t="str">
            <v>Jam</v>
          </cell>
          <cell r="AB870">
            <v>0.35714285714285715</v>
          </cell>
          <cell r="AC870">
            <v>1700</v>
          </cell>
          <cell r="AD870">
            <v>607.14</v>
          </cell>
        </row>
        <row r="871">
          <cell r="W871" t="str">
            <v>2.</v>
          </cell>
          <cell r="X871" t="str">
            <v xml:space="preserve">  Mandor</v>
          </cell>
          <cell r="AA871" t="str">
            <v>Jam</v>
          </cell>
          <cell r="AB871">
            <v>7.1428571428571425E-2</v>
          </cell>
          <cell r="AC871">
            <v>1900</v>
          </cell>
          <cell r="AD871">
            <v>135.71</v>
          </cell>
        </row>
        <row r="873">
          <cell r="X873" t="str">
            <v xml:space="preserve"> </v>
          </cell>
        </row>
        <row r="875">
          <cell r="W875" t="str">
            <v>B.</v>
          </cell>
          <cell r="X875" t="str">
            <v xml:space="preserve">  B A H A N</v>
          </cell>
        </row>
        <row r="876">
          <cell r="W876" t="str">
            <v>1.</v>
          </cell>
          <cell r="X876" t="str">
            <v xml:space="preserve">  Agregat Kasar</v>
          </cell>
          <cell r="AA876" t="str">
            <v>m3</v>
          </cell>
          <cell r="AB876">
            <v>0.70299999999999996</v>
          </cell>
          <cell r="AC876">
            <v>50000</v>
          </cell>
          <cell r="AD876">
            <v>35150</v>
          </cell>
        </row>
        <row r="877">
          <cell r="W877" t="str">
            <v>2.</v>
          </cell>
          <cell r="X877" t="str">
            <v xml:space="preserve">  Agregat Halus</v>
          </cell>
          <cell r="AA877" t="str">
            <v>m3</v>
          </cell>
          <cell r="AB877">
            <v>0.53400000000000003</v>
          </cell>
          <cell r="AC877">
            <v>36000</v>
          </cell>
          <cell r="AD877">
            <v>19224</v>
          </cell>
        </row>
        <row r="878">
          <cell r="W878" t="str">
            <v>3.</v>
          </cell>
          <cell r="X878" t="str">
            <v xml:space="preserve">  Filler</v>
          </cell>
          <cell r="AA878" t="str">
            <v>kg</v>
          </cell>
          <cell r="AB878">
            <v>139.19999999999999</v>
          </cell>
          <cell r="AC878">
            <v>350</v>
          </cell>
          <cell r="AD878">
            <v>48720</v>
          </cell>
        </row>
        <row r="879">
          <cell r="W879" t="str">
            <v>4.</v>
          </cell>
          <cell r="X879" t="str">
            <v xml:space="preserve">  Aspal</v>
          </cell>
          <cell r="AA879" t="str">
            <v>kg</v>
          </cell>
          <cell r="AB879">
            <v>157</v>
          </cell>
          <cell r="AC879">
            <v>2375</v>
          </cell>
          <cell r="AD879">
            <v>372875</v>
          </cell>
        </row>
        <row r="882">
          <cell r="W882" t="str">
            <v>C.</v>
          </cell>
          <cell r="X882" t="str">
            <v xml:space="preserve">  PERALATAN</v>
          </cell>
        </row>
        <row r="883">
          <cell r="W883" t="str">
            <v>1.</v>
          </cell>
          <cell r="X883" t="str">
            <v xml:space="preserve">  Wheel Loader</v>
          </cell>
          <cell r="AA883" t="str">
            <v>Jam</v>
          </cell>
          <cell r="AB883">
            <v>2.2445874528905448E-2</v>
          </cell>
          <cell r="AC883">
            <v>61961.891192153329</v>
          </cell>
          <cell r="AD883">
            <v>1390.79</v>
          </cell>
        </row>
        <row r="884">
          <cell r="W884" t="str">
            <v>2.</v>
          </cell>
          <cell r="X884" t="str">
            <v xml:space="preserve">  Asphalt Mixing Plant</v>
          </cell>
          <cell r="AA884" t="str">
            <v>Jam</v>
          </cell>
          <cell r="AB884">
            <v>3.5714285714285712E-2</v>
          </cell>
          <cell r="AC884">
            <v>511690.04100000003</v>
          </cell>
          <cell r="AD884">
            <v>18274.64</v>
          </cell>
        </row>
        <row r="885">
          <cell r="W885" t="str">
            <v>3.</v>
          </cell>
          <cell r="X885" t="str">
            <v xml:space="preserve">  Dump Truck</v>
          </cell>
          <cell r="AA885" t="str">
            <v>Jam</v>
          </cell>
          <cell r="AB885">
            <v>1.19628125</v>
          </cell>
          <cell r="AC885">
            <v>41722.179083333336</v>
          </cell>
          <cell r="AD885">
            <v>49911.46</v>
          </cell>
        </row>
        <row r="886">
          <cell r="W886" t="str">
            <v>4.</v>
          </cell>
          <cell r="X886" t="str">
            <v xml:space="preserve">  Asphalt Finisher</v>
          </cell>
          <cell r="AA886" t="str">
            <v>Jam</v>
          </cell>
          <cell r="AB886">
            <v>9.0361454819278014E-2</v>
          </cell>
          <cell r="AC886">
            <v>62576.209076850006</v>
          </cell>
          <cell r="AD886">
            <v>5654.48</v>
          </cell>
        </row>
        <row r="887">
          <cell r="W887" t="str">
            <v>5.</v>
          </cell>
          <cell r="X887" t="str">
            <v xml:space="preserve">  Tandem Roller</v>
          </cell>
          <cell r="AA887" t="str">
            <v>Jam</v>
          </cell>
          <cell r="AB887">
            <v>2.5100401606425699E-2</v>
          </cell>
          <cell r="AC887">
            <v>24118.531999999999</v>
          </cell>
          <cell r="AD887">
            <v>605.38</v>
          </cell>
        </row>
        <row r="888">
          <cell r="W888" t="str">
            <v>6.</v>
          </cell>
          <cell r="X888" t="str">
            <v xml:space="preserve">  Tyred Roller</v>
          </cell>
          <cell r="AA888" t="str">
            <v>Jam</v>
          </cell>
          <cell r="AB888">
            <v>3.543586109142452E-2</v>
          </cell>
          <cell r="AC888">
            <v>33940.980355555555</v>
          </cell>
          <cell r="AD888">
            <v>1202.73</v>
          </cell>
        </row>
        <row r="889">
          <cell r="W889" t="str">
            <v>7.</v>
          </cell>
          <cell r="X889" t="str">
            <v xml:space="preserve">  Alat Bantu</v>
          </cell>
          <cell r="AA889" t="str">
            <v>Jam</v>
          </cell>
          <cell r="AB889">
            <v>1</v>
          </cell>
          <cell r="AC889">
            <v>1000</v>
          </cell>
          <cell r="AD889">
            <v>1000</v>
          </cell>
        </row>
        <row r="892">
          <cell r="W892" t="str">
            <v>D.</v>
          </cell>
          <cell r="X892" t="str">
            <v xml:space="preserve">  Jumlah ( A + B + C )</v>
          </cell>
          <cell r="AD892">
            <v>554751.32999999996</v>
          </cell>
        </row>
        <row r="893">
          <cell r="W893" t="str">
            <v>E.</v>
          </cell>
          <cell r="X893" t="str">
            <v xml:space="preserve">  Biaya Umum dan Keuntungan = ( 10 % x D )</v>
          </cell>
          <cell r="AD893">
            <v>55475.13</v>
          </cell>
        </row>
        <row r="894">
          <cell r="W894" t="str">
            <v>F.</v>
          </cell>
          <cell r="X894" t="str">
            <v xml:space="preserve">  Harga Satuan ( D + E )</v>
          </cell>
          <cell r="AD894">
            <v>610226.46</v>
          </cell>
        </row>
        <row r="895">
          <cell r="W895" t="str">
            <v>G.</v>
          </cell>
          <cell r="X895" t="str">
            <v xml:space="preserve">  DIBULATKAN</v>
          </cell>
          <cell r="AD895">
            <v>610226</v>
          </cell>
        </row>
        <row r="897">
          <cell r="W897" t="str">
            <v>Catatan :</v>
          </cell>
        </row>
        <row r="898">
          <cell r="W898" t="str">
            <v>-</v>
          </cell>
        </row>
        <row r="900">
          <cell r="W900" t="str">
            <v>-</v>
          </cell>
        </row>
        <row r="902">
          <cell r="W902" t="str">
            <v>-</v>
          </cell>
        </row>
        <row r="903">
          <cell r="W903" t="str">
            <v>-</v>
          </cell>
        </row>
        <row r="905">
          <cell r="W905" t="str">
            <v>-</v>
          </cell>
        </row>
        <row r="907">
          <cell r="W907" t="str">
            <v>-</v>
          </cell>
        </row>
        <row r="910">
          <cell r="W910" t="str">
            <v>-</v>
          </cell>
        </row>
        <row r="914">
          <cell r="AC914" t="str">
            <v>ACEH BESAR,   22  AGUSTUS  2000</v>
          </cell>
        </row>
        <row r="915">
          <cell r="AC915" t="str">
            <v>CV. MANDIRI KARYA UTAMA</v>
          </cell>
        </row>
        <row r="937">
          <cell r="W937" t="str">
            <v>ANALISA HARGA SATUAN MATA PEMBAYARAN UTAMA</v>
          </cell>
        </row>
        <row r="939">
          <cell r="W939" t="str">
            <v>NAMA PENAWAR</v>
          </cell>
          <cell r="Y939" t="str">
            <v>:</v>
          </cell>
          <cell r="Z939" t="str">
            <v>CV. MANDIRI KARYA UTAMA</v>
          </cell>
        </row>
        <row r="940">
          <cell r="W940" t="str">
            <v>PROYEK</v>
          </cell>
          <cell r="Y940" t="str">
            <v>:</v>
          </cell>
          <cell r="Z940" t="str">
            <v>PENINGKATAN JALAN DAN PENGGANTIAN JEMBATAN DPU CAB. VI ACEH BARAT</v>
          </cell>
        </row>
        <row r="941">
          <cell r="W941" t="str">
            <v>NO. MATA PEMBAYARAN</v>
          </cell>
          <cell r="Y941" t="str">
            <v>:</v>
          </cell>
          <cell r="Z941" t="str">
            <v>6.3 (4)</v>
          </cell>
        </row>
        <row r="942">
          <cell r="W942" t="str">
            <v>JENIS PEKERJAAN</v>
          </cell>
          <cell r="Y942" t="str">
            <v>:</v>
          </cell>
          <cell r="Z942" t="str">
            <v>Lapis Permukaan : AC</v>
          </cell>
        </row>
        <row r="943">
          <cell r="W943" t="str">
            <v>SATUAN PEKERJAAN</v>
          </cell>
          <cell r="Y943" t="str">
            <v>:</v>
          </cell>
          <cell r="Z943" t="str">
            <v>m2</v>
          </cell>
        </row>
        <row r="944">
          <cell r="W944" t="str">
            <v>PRODUKSI HARIAN/JAM</v>
          </cell>
          <cell r="Y944" t="str">
            <v>:</v>
          </cell>
        </row>
        <row r="946">
          <cell r="W946" t="str">
            <v>NO.</v>
          </cell>
          <cell r="X946" t="str">
            <v>U  R  A  I  A  N</v>
          </cell>
          <cell r="AA946" t="str">
            <v>SATUAN</v>
          </cell>
          <cell r="AB946" t="str">
            <v>KUANTITAS</v>
          </cell>
          <cell r="AC946" t="str">
            <v>HARGA SATUAN</v>
          </cell>
          <cell r="AD946" t="str">
            <v>JUMLAH HARGA</v>
          </cell>
        </row>
        <row r="947">
          <cell r="AC947" t="str">
            <v>(Rp.)</v>
          </cell>
          <cell r="AD947" t="str">
            <v>(Rp.)</v>
          </cell>
        </row>
        <row r="949">
          <cell r="W949" t="str">
            <v xml:space="preserve">A. </v>
          </cell>
          <cell r="X949" t="str">
            <v xml:space="preserve">  TENAGA KERJA</v>
          </cell>
        </row>
        <row r="950">
          <cell r="W950" t="str">
            <v>1.</v>
          </cell>
          <cell r="X950" t="str">
            <v xml:space="preserve">  Pekerja</v>
          </cell>
          <cell r="AA950" t="str">
            <v>Jam</v>
          </cell>
          <cell r="AB950">
            <v>3.8300000000000001E-2</v>
          </cell>
          <cell r="AC950">
            <v>1700</v>
          </cell>
          <cell r="AD950">
            <v>65.11</v>
          </cell>
        </row>
        <row r="951">
          <cell r="W951" t="str">
            <v>2.</v>
          </cell>
          <cell r="X951" t="str">
            <v xml:space="preserve">  Mandor</v>
          </cell>
          <cell r="AA951" t="str">
            <v>Jam</v>
          </cell>
          <cell r="AB951">
            <v>3.8E-3</v>
          </cell>
          <cell r="AC951">
            <v>1900</v>
          </cell>
          <cell r="AD951">
            <v>7.22</v>
          </cell>
        </row>
        <row r="953">
          <cell r="X953" t="str">
            <v xml:space="preserve"> </v>
          </cell>
        </row>
        <row r="955">
          <cell r="W955" t="str">
            <v>B.</v>
          </cell>
          <cell r="X955" t="str">
            <v xml:space="preserve">  B A H A N</v>
          </cell>
        </row>
        <row r="956">
          <cell r="W956" t="str">
            <v>1.</v>
          </cell>
          <cell r="X956" t="str">
            <v xml:space="preserve">  Agregat Kasar</v>
          </cell>
          <cell r="AA956" t="str">
            <v>m3</v>
          </cell>
          <cell r="AB956">
            <v>3.3600000000000005E-2</v>
          </cell>
          <cell r="AC956">
            <v>50000</v>
          </cell>
          <cell r="AD956">
            <v>1680</v>
          </cell>
        </row>
        <row r="957">
          <cell r="W957" t="str">
            <v>2.</v>
          </cell>
          <cell r="X957" t="str">
            <v xml:space="preserve">  Agregat Halus</v>
          </cell>
          <cell r="AA957" t="str">
            <v>m3</v>
          </cell>
          <cell r="AB957">
            <v>1.49E-2</v>
          </cell>
          <cell r="AC957">
            <v>36000</v>
          </cell>
          <cell r="AD957">
            <v>536.4</v>
          </cell>
        </row>
        <row r="958">
          <cell r="W958" t="str">
            <v>3.</v>
          </cell>
          <cell r="X958" t="str">
            <v xml:space="preserve">  Filler</v>
          </cell>
          <cell r="AA958" t="str">
            <v>kg</v>
          </cell>
          <cell r="AB958">
            <v>4.8014999999999999</v>
          </cell>
          <cell r="AC958">
            <v>350</v>
          </cell>
          <cell r="AD958">
            <v>1680.53</v>
          </cell>
        </row>
        <row r="959">
          <cell r="W959" t="str">
            <v>4.</v>
          </cell>
          <cell r="X959" t="str">
            <v xml:space="preserve">  Aspal</v>
          </cell>
          <cell r="AA959" t="str">
            <v>kg</v>
          </cell>
          <cell r="AB959">
            <v>6.6150000000000002</v>
          </cell>
          <cell r="AC959">
            <v>2375</v>
          </cell>
          <cell r="AD959">
            <v>15710.63</v>
          </cell>
        </row>
        <row r="962">
          <cell r="W962" t="str">
            <v>C.</v>
          </cell>
          <cell r="X962" t="str">
            <v xml:space="preserve">  PERALATAN</v>
          </cell>
        </row>
        <row r="963">
          <cell r="W963" t="str">
            <v>1.</v>
          </cell>
          <cell r="X963" t="str">
            <v xml:space="preserve">  Wheel Loader</v>
          </cell>
          <cell r="AA963" t="str">
            <v>Jam</v>
          </cell>
          <cell r="AB963">
            <v>1E-3</v>
          </cell>
          <cell r="AC963">
            <v>61961.891192153329</v>
          </cell>
          <cell r="AD963">
            <v>61.96</v>
          </cell>
        </row>
        <row r="964">
          <cell r="W964" t="str">
            <v>2.</v>
          </cell>
          <cell r="X964" t="str">
            <v xml:space="preserve">  Asphalt Mixing Plant</v>
          </cell>
          <cell r="AA964" t="str">
            <v>Jam</v>
          </cell>
          <cell r="AB964">
            <v>1.5E-3</v>
          </cell>
          <cell r="AC964">
            <v>511690.04100000003</v>
          </cell>
          <cell r="AD964">
            <v>767.54</v>
          </cell>
        </row>
        <row r="965">
          <cell r="W965" t="str">
            <v>3.</v>
          </cell>
          <cell r="X965" t="str">
            <v xml:space="preserve">  Genset</v>
          </cell>
          <cell r="AA965" t="str">
            <v>Jam</v>
          </cell>
          <cell r="AB965">
            <v>1E-3</v>
          </cell>
          <cell r="AC965">
            <v>63202.772222222222</v>
          </cell>
          <cell r="AD965">
            <v>63.2</v>
          </cell>
        </row>
        <row r="966">
          <cell r="W966" t="str">
            <v>4.</v>
          </cell>
          <cell r="X966" t="str">
            <v xml:space="preserve">  Dump Truck</v>
          </cell>
          <cell r="AA966" t="str">
            <v>Jam</v>
          </cell>
          <cell r="AB966">
            <v>1.2200000000000001E-2</v>
          </cell>
          <cell r="AC966">
            <v>41722.179083333336</v>
          </cell>
          <cell r="AD966">
            <v>509.01</v>
          </cell>
        </row>
        <row r="967">
          <cell r="W967" t="str">
            <v>5.</v>
          </cell>
          <cell r="X967" t="str">
            <v xml:space="preserve">  Asphalt Finisher</v>
          </cell>
          <cell r="AA967" t="str">
            <v>Jam</v>
          </cell>
          <cell r="AB967">
            <v>2.4000000000000002E-3</v>
          </cell>
          <cell r="AC967">
            <v>62576.209076850006</v>
          </cell>
          <cell r="AD967">
            <v>150.18</v>
          </cell>
        </row>
        <row r="968">
          <cell r="W968" t="str">
            <v>6.</v>
          </cell>
          <cell r="X968" t="str">
            <v xml:space="preserve">  Tandem Roller</v>
          </cell>
          <cell r="AA968" t="str">
            <v>Jam</v>
          </cell>
          <cell r="AB968">
            <v>1E-3</v>
          </cell>
          <cell r="AC968">
            <v>24118.531999999999</v>
          </cell>
          <cell r="AD968">
            <v>24.12</v>
          </cell>
        </row>
        <row r="969">
          <cell r="W969" t="str">
            <v>7.</v>
          </cell>
          <cell r="X969" t="str">
            <v xml:space="preserve">  Pneumatic Tyred Roller</v>
          </cell>
          <cell r="AA969" t="str">
            <v>Jam</v>
          </cell>
          <cell r="AB969">
            <v>1E-3</v>
          </cell>
          <cell r="AC969">
            <v>33940.980355555555</v>
          </cell>
          <cell r="AD969">
            <v>33.94</v>
          </cell>
        </row>
        <row r="970">
          <cell r="W970" t="str">
            <v>8.</v>
          </cell>
          <cell r="X970" t="str">
            <v xml:space="preserve">  Alat Bantu</v>
          </cell>
          <cell r="AA970" t="str">
            <v>Jam</v>
          </cell>
          <cell r="AB970">
            <v>1</v>
          </cell>
          <cell r="AC970">
            <v>100</v>
          </cell>
          <cell r="AD970">
            <v>100</v>
          </cell>
        </row>
        <row r="972">
          <cell r="W972" t="str">
            <v>D.</v>
          </cell>
          <cell r="X972" t="str">
            <v xml:space="preserve">  Jumlah ( A + B + C )</v>
          </cell>
          <cell r="AD972">
            <v>21389.839999999997</v>
          </cell>
        </row>
        <row r="973">
          <cell r="W973" t="str">
            <v>E.</v>
          </cell>
          <cell r="X973" t="str">
            <v xml:space="preserve">  Biaya Umum dan Keuntungan = ( 10 % x D )</v>
          </cell>
          <cell r="AD973">
            <v>2138.98</v>
          </cell>
        </row>
        <row r="974">
          <cell r="W974" t="str">
            <v>F.</v>
          </cell>
          <cell r="X974" t="str">
            <v xml:space="preserve">  Harga Satuan ( D + E )</v>
          </cell>
          <cell r="AD974">
            <v>23528.819999999996</v>
          </cell>
        </row>
        <row r="975">
          <cell r="W975" t="str">
            <v>G.</v>
          </cell>
          <cell r="X975" t="str">
            <v xml:space="preserve">  D i b u l a t k a n</v>
          </cell>
          <cell r="AD975">
            <v>23529</v>
          </cell>
        </row>
        <row r="977">
          <cell r="W977" t="str">
            <v>Catatan :</v>
          </cell>
        </row>
        <row r="978">
          <cell r="W978" t="str">
            <v>-</v>
          </cell>
          <cell r="X978" t="str">
            <v>|Satuan dapat berdasarkan atas jam operasi untuk tenaga kerja dan peralatan, volume dan / atau</v>
          </cell>
        </row>
        <row r="979">
          <cell r="X979" t="str">
            <v>|ukuran berat untuk bahan-bahan.</v>
          </cell>
        </row>
        <row r="980">
          <cell r="W980" t="str">
            <v>-</v>
          </cell>
          <cell r="X980" t="str">
            <v>|Kuantitas satuan adalah kuantitas setiap komponen untuk menyelesaikan atau satuan pekerjaan</v>
          </cell>
        </row>
        <row r="981">
          <cell r="X981" t="str">
            <v>|dari nomor mata pembayaran.</v>
          </cell>
        </row>
        <row r="982">
          <cell r="W982" t="str">
            <v>-</v>
          </cell>
          <cell r="X982" t="str">
            <v>|Biaya Satuan sudah termasuk pengeluaran untuk seluruh pajak yang berkaitan (tetapi tidak termasuk</v>
          </cell>
        </row>
        <row r="983">
          <cell r="X983" t="str">
            <v>|PPN yang dibayarkan dari Kontrak) dan biaya-biaya lainnya.</v>
          </cell>
        </row>
        <row r="984">
          <cell r="W984" t="str">
            <v>-</v>
          </cell>
          <cell r="X984" t="str">
            <v>|Harga Satuan yang diajukan Peserta Lelang harus mencakup seluruh tambahan tenaga kerja,</v>
          </cell>
        </row>
        <row r="985">
          <cell r="X985" t="str">
            <v>|bahan, peralatan atau kerugian yang mungkin diperlukan untuk menyelesaikan pekerjaan sesuai</v>
          </cell>
        </row>
        <row r="986">
          <cell r="X986" t="str">
            <v>|dengan Spesifikasi dan Gambar.</v>
          </cell>
        </row>
        <row r="987">
          <cell r="W987" t="str">
            <v>-</v>
          </cell>
          <cell r="X987" t="str">
            <v>|Koefisien bahan tidak boleh diubah.</v>
          </cell>
        </row>
        <row r="988">
          <cell r="W988" t="str">
            <v>-</v>
          </cell>
          <cell r="X988" t="str">
            <v>|Jenis tenaga kerja dan peralatan dapat disesuaikan dengan Metode Pelaksanaan yang digunakan.</v>
          </cell>
        </row>
        <row r="991">
          <cell r="AC991">
            <v>0</v>
          </cell>
        </row>
        <row r="992">
          <cell r="AC992">
            <v>0</v>
          </cell>
        </row>
        <row r="1103">
          <cell r="X1103" t="str">
            <v xml:space="preserve">  Motor Grader</v>
          </cell>
          <cell r="AA1103" t="str">
            <v>Jam</v>
          </cell>
          <cell r="AB1103">
            <v>42</v>
          </cell>
          <cell r="AC1103">
            <v>70925.908490275557</v>
          </cell>
          <cell r="AD1103">
            <v>2978888.16</v>
          </cell>
        </row>
        <row r="1104">
          <cell r="X1104" t="str">
            <v xml:space="preserve">  Dump Truck</v>
          </cell>
          <cell r="AA1104" t="str">
            <v>Jam</v>
          </cell>
          <cell r="AB1104">
            <v>21</v>
          </cell>
          <cell r="AC1104">
            <v>41722.179083333336</v>
          </cell>
          <cell r="AD1104">
            <v>876165.76</v>
          </cell>
        </row>
        <row r="1107">
          <cell r="W1107" t="str">
            <v>A.</v>
          </cell>
          <cell r="X1107" t="str">
            <v xml:space="preserve">  JUMLAH ( I + II + III )</v>
          </cell>
          <cell r="AD1107">
            <v>8185053.9199999999</v>
          </cell>
        </row>
        <row r="1108">
          <cell r="W1108" t="str">
            <v>B.</v>
          </cell>
          <cell r="X1108" t="str">
            <v xml:space="preserve">  BIAYA UMUM DAN KEUNTUNGAN = ( 10 % x A )</v>
          </cell>
          <cell r="AD1108">
            <v>818505.39199999999</v>
          </cell>
        </row>
        <row r="1109">
          <cell r="W1109" t="str">
            <v>C.</v>
          </cell>
          <cell r="X1109" t="str">
            <v xml:space="preserve">  HARGA LUMPSUM TOTAL = ( A + B )</v>
          </cell>
          <cell r="AD1109">
            <v>9003559.311999999</v>
          </cell>
        </row>
        <row r="1110">
          <cell r="W1110" t="str">
            <v>D.</v>
          </cell>
          <cell r="X1110" t="str">
            <v xml:space="preserve">  HARGA LUMPSUM/BULAN UNTUK 3 BULAN PERTAMA = C / 8</v>
          </cell>
          <cell r="AD1110">
            <v>1125444.9139999999</v>
          </cell>
        </row>
        <row r="1111">
          <cell r="W1111" t="str">
            <v>E.</v>
          </cell>
          <cell r="X1111" t="str">
            <v xml:space="preserve">  HARGA LUMPSUM/BULAN UNTUK SISANYA SELAMA MASA PELAKSANAAN</v>
          </cell>
          <cell r="AD1111">
            <v>5627224.5699999994</v>
          </cell>
        </row>
        <row r="1112">
          <cell r="X1112" t="str">
            <v xml:space="preserve">  = 5/8 x C/( MASA PELAKSANAAN - 3 )</v>
          </cell>
        </row>
        <row r="1114">
          <cell r="W1114" t="str">
            <v>Catatan :</v>
          </cell>
        </row>
        <row r="1115">
          <cell r="W1115" t="str">
            <v>-</v>
          </cell>
          <cell r="X1115" t="str">
            <v>|Kuantitas-kuantitas yang dicantumkan harus diperkirakan oleh Peserta lelang.</v>
          </cell>
        </row>
        <row r="1116">
          <cell r="W1116" t="str">
            <v>-</v>
          </cell>
          <cell r="X1116" t="str">
            <v>|Harga Lump Sum yang diajukan Peserta lelang harus mencakup seluruh pajak yang berkaitan (tetapi tidak</v>
          </cell>
        </row>
        <row r="1117">
          <cell r="X1117" t="str">
            <v>|termasuk PPN yang dibayarkan dari Kontrak), bahan-bahan tambahan, tenaga kerja atau peralatan</v>
          </cell>
        </row>
        <row r="1118">
          <cell r="X1118" t="str">
            <v>|yang mungkin diperlukan.</v>
          </cell>
        </row>
        <row r="1119">
          <cell r="W1119" t="str">
            <v>-</v>
          </cell>
          <cell r="X1119" t="str">
            <v>|Mata Pekerjaan dan Kuantitas yang ditunjukkan dalam Analisa Harga di atas adalah perkiraan Peserta lelang</v>
          </cell>
        </row>
        <row r="1120">
          <cell r="X1120" t="str">
            <v>|semata-mata untuk menjadi dasar penetapan Mata Pembayaran Pekerjaan Pemeliharaan Rutin ini dan</v>
          </cell>
        </row>
        <row r="1121">
          <cell r="X1121" t="str">
            <v>|tidak perlu menggambarkan kebutuhan pekerjaan yang sesungguhnya. Pembayaran kepada Kontraktor</v>
          </cell>
        </row>
        <row r="1122">
          <cell r="X1122" t="str">
            <v>|berdasarkan kewajibannya untuk memelihara kondisi jalan agar tetap memuaskan sepanjang waktu</v>
          </cell>
        </row>
        <row r="1123">
          <cell r="X1123" t="str">
            <v>|sebagaimana ditentukan dalam Spesifikasi dan tidak perlu dikaitkan dengan kuantitas yang ditunjukkan</v>
          </cell>
        </row>
        <row r="1124">
          <cell r="X1124" t="str">
            <v>|dalam Analisa Harganya.</v>
          </cell>
        </row>
        <row r="1125">
          <cell r="W1125" t="str">
            <v>-</v>
          </cell>
          <cell r="X1125" t="str">
            <v>|Meskipun Analisa Harga di atas ditentukan untuk Masa Pelaksanaan, Kontraktor juga bertanggung jawab</v>
          </cell>
        </row>
        <row r="1126">
          <cell r="X1126" t="str">
            <v>|untuk Pekerjaan Pemeliharaan Rutin selama Masa Pemeliharaan sesuai dengan Spesifikasi. Namun</v>
          </cell>
        </row>
        <row r="1127">
          <cell r="X1127" t="str">
            <v>|demikian, tidak ada pembayaran terpisah untuk Pekerjaan Pemeliharaan Rutin selama Masa Pemeliharaan</v>
          </cell>
        </row>
        <row r="1128">
          <cell r="X1128" t="str">
            <v>|tersebut, sedangkan biaya yang dikeluarkan untuk Pekerjaan itu dianggap sudah termasuk dalam</v>
          </cell>
        </row>
        <row r="1129">
          <cell r="X1129" t="str">
            <v>|Harga-harga Satuan yang berkaitan.</v>
          </cell>
        </row>
        <row r="1136">
          <cell r="AC1136">
            <v>0</v>
          </cell>
        </row>
        <row r="1137">
          <cell r="AC1137">
            <v>0</v>
          </cell>
        </row>
        <row r="1143">
          <cell r="AC1143">
            <v>0</v>
          </cell>
        </row>
        <row r="1144">
          <cell r="AC1144">
            <v>0</v>
          </cell>
        </row>
        <row r="1150">
          <cell r="W1150" t="str">
            <v>LAMPIRAN  2(b)-4  PENAWARAN</v>
          </cell>
        </row>
        <row r="1151">
          <cell r="W1151" t="str">
            <v>( Lampiran ini dipergunakan semata-mata untuk Evaluasi Penawaran )</v>
          </cell>
        </row>
        <row r="1153">
          <cell r="W1153" t="str">
            <v>ANALISA HARGA LUMP SUM</v>
          </cell>
        </row>
        <row r="1154">
          <cell r="W1154" t="str">
            <v>UNTUK PEKERJAAN PEMELIHARAAN RUTIN</v>
          </cell>
        </row>
        <row r="1157">
          <cell r="W1157" t="str">
            <v>NAMA PENAWAR</v>
          </cell>
          <cell r="Z1157" t="str">
            <v>CV. MANDIRI KARYA UTAMA</v>
          </cell>
        </row>
        <row r="1158">
          <cell r="W1158" t="str">
            <v>PROYEK</v>
          </cell>
          <cell r="Z1158" t="str">
            <v>: 10.1(4)</v>
          </cell>
        </row>
        <row r="1159">
          <cell r="W1159" t="str">
            <v>NO. MATA PEMBAYARAN</v>
          </cell>
          <cell r="Z1159" t="str">
            <v>: Pemeliharaan Rutin terhadap Perlengkapan Jalan</v>
          </cell>
        </row>
        <row r="1160">
          <cell r="W1160" t="str">
            <v>JENIS PEKERJAAN</v>
          </cell>
          <cell r="Z1160" t="str">
            <v>: Lump Sum/Bulan</v>
          </cell>
        </row>
        <row r="1162">
          <cell r="AC1162" t="str">
            <v>BIAYA</v>
          </cell>
          <cell r="AD1162" t="str">
            <v>JUMLAH</v>
          </cell>
        </row>
        <row r="1163">
          <cell r="W1163" t="str">
            <v>NO</v>
          </cell>
          <cell r="X1163" t="str">
            <v>U R A I A N</v>
          </cell>
          <cell r="AA1163" t="str">
            <v>SATUAN</v>
          </cell>
          <cell r="AB1163" t="str">
            <v>KUANTITAS</v>
          </cell>
          <cell r="AC1163" t="str">
            <v>SATUAN</v>
          </cell>
          <cell r="AD1163" t="str">
            <v>HARGA</v>
          </cell>
        </row>
        <row r="1164">
          <cell r="AC1164" t="str">
            <v>(Rp.)</v>
          </cell>
          <cell r="AD1164" t="str">
            <v>(Rp.)</v>
          </cell>
        </row>
        <row r="1166">
          <cell r="W1166" t="str">
            <v>I.</v>
          </cell>
          <cell r="X1166" t="str">
            <v xml:space="preserve">  Bahan-bahan :</v>
          </cell>
        </row>
        <row r="1167">
          <cell r="X1167" t="str">
            <v xml:space="preserve">  Umum</v>
          </cell>
          <cell r="AA1167" t="str">
            <v>Ls</v>
          </cell>
          <cell r="AB1167">
            <v>1</v>
          </cell>
          <cell r="AC1167">
            <v>1000000</v>
          </cell>
          <cell r="AD1167">
            <v>1000000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ONGKE3p "/>
      <sheetName val="TDTKP"/>
      <sheetName val="DON GIA"/>
      <sheetName val="TNHCHINH"/>
      <sheetName val="CHITIET VL_NC_TT _1p"/>
      <sheetName val="TDTKP1"/>
      <sheetName val="KPVC_BD "/>
      <sheetName val="_REF"/>
      <sheetName val="Tiepdia"/>
      <sheetName val="CHITIET VL_NC_TT_3p"/>
      <sheetName val="VCV_BE_TONG"/>
      <sheetName val="chitiet"/>
      <sheetName val="VC"/>
      <sheetName val="CHITIET VL_NC"/>
      <sheetName val="THPDMoi  _2_"/>
      <sheetName val="t_h HA THE"/>
      <sheetName val="giathanh1"/>
      <sheetName val="TONGKE_HT"/>
      <sheetName val="dongia _2_"/>
      <sheetName val="gtrinh"/>
      <sheetName val="lam_moi"/>
      <sheetName val="TH XL"/>
      <sheetName val="thao_go"/>
      <sheetName val="Tam"/>
      <sheetName val="Du_lieu"/>
      <sheetName val="KH-Q1,Q2,01"/>
      <sheetName val="TONG HOP VL-NC"/>
      <sheetName val="CHITIET VL-NC-TT -1p"/>
      <sheetName val="phuluc1"/>
      <sheetName val="TONG HOP VL-NC TT"/>
      <sheetName val="KPVC-BD "/>
      <sheetName val="#REF"/>
      <sheetName val="gvl"/>
      <sheetName val="CHITIET VL-NC-TT-3p"/>
      <sheetName val="VCV-BE-TONG"/>
      <sheetName val="CHITIET VL-NC"/>
      <sheetName val="THPDMoi  (2)"/>
      <sheetName val="t-h HA THE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lam-moi"/>
      <sheetName val="thao-go"/>
      <sheetName val="BAOGIATHANG"/>
      <sheetName val="vanchuyen TC"/>
      <sheetName val="DAODAT"/>
      <sheetName val="dongiaX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KAB"/>
      <sheetName val="SUDIRMAN"/>
      <sheetName val="Sheet1"/>
      <sheetName val="ANAL LIST"/>
      <sheetName val="ANALISA SIPIL"/>
      <sheetName val="BAHAN"/>
      <sheetName val="VOLUME"/>
      <sheetName val="TIME SCHEDULLE"/>
      <sheetName val="ANALISA ASPAL"/>
      <sheetName val="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6">
          <cell r="BO26" t="str">
            <v xml:space="preserve"> Alat Baru</v>
          </cell>
        </row>
        <row r="27">
          <cell r="BO27">
            <v>2700000000</v>
          </cell>
        </row>
        <row r="46">
          <cell r="BO46" t="str">
            <v xml:space="preserve"> Alat Baru</v>
          </cell>
        </row>
        <row r="47">
          <cell r="BO47">
            <v>2000000000</v>
          </cell>
        </row>
        <row r="66">
          <cell r="BO66" t="str">
            <v xml:space="preserve"> Alat Baru</v>
          </cell>
        </row>
        <row r="67">
          <cell r="BO67">
            <v>55000000</v>
          </cell>
        </row>
        <row r="86">
          <cell r="BO86" t="str">
            <v xml:space="preserve"> Alat Baru</v>
          </cell>
        </row>
        <row r="87">
          <cell r="BO87">
            <v>1060875000</v>
          </cell>
        </row>
        <row r="106">
          <cell r="BO106" t="str">
            <v xml:space="preserve"> Alat Baru</v>
          </cell>
        </row>
        <row r="107">
          <cell r="BO107">
            <v>40000000</v>
          </cell>
        </row>
        <row r="126">
          <cell r="BO126" t="str">
            <v xml:space="preserve"> Alat Baru</v>
          </cell>
        </row>
        <row r="127">
          <cell r="BO127">
            <v>18150000</v>
          </cell>
        </row>
        <row r="146">
          <cell r="BO146" t="str">
            <v xml:space="preserve"> Alat Baru</v>
          </cell>
        </row>
        <row r="147">
          <cell r="BO147">
            <v>1100000000</v>
          </cell>
        </row>
        <row r="166">
          <cell r="BO166" t="str">
            <v xml:space="preserve"> Alat Baru</v>
          </cell>
        </row>
        <row r="167">
          <cell r="BO167">
            <v>181500000</v>
          </cell>
        </row>
        <row r="186">
          <cell r="BO186" t="str">
            <v xml:space="preserve"> Alat Baru</v>
          </cell>
        </row>
        <row r="187">
          <cell r="BO187">
            <v>214500000</v>
          </cell>
        </row>
        <row r="206">
          <cell r="BO206" t="str">
            <v xml:space="preserve"> Alat Baru</v>
          </cell>
        </row>
        <row r="207">
          <cell r="BO207">
            <v>1100000000</v>
          </cell>
        </row>
        <row r="226">
          <cell r="BO226" t="str">
            <v xml:space="preserve"> Alat Baru</v>
          </cell>
        </row>
        <row r="227">
          <cell r="BO227">
            <v>128150000</v>
          </cell>
        </row>
        <row r="246">
          <cell r="BO246" t="str">
            <v xml:space="preserve"> Alat Baru</v>
          </cell>
        </row>
        <row r="247">
          <cell r="BO247">
            <v>185000000</v>
          </cell>
        </row>
        <row r="266">
          <cell r="BO266" t="str">
            <v xml:space="preserve"> Alat Baru</v>
          </cell>
        </row>
        <row r="267">
          <cell r="BO267">
            <v>1375000000</v>
          </cell>
        </row>
        <row r="286">
          <cell r="BO286" t="str">
            <v xml:space="preserve"> Alat Baru</v>
          </cell>
        </row>
        <row r="287">
          <cell r="BO287">
            <v>189000000</v>
          </cell>
        </row>
        <row r="306">
          <cell r="BO306" t="str">
            <v xml:space="preserve"> Alat Baru</v>
          </cell>
        </row>
        <row r="307">
          <cell r="BO307">
            <v>957000000</v>
          </cell>
        </row>
        <row r="326">
          <cell r="BO326" t="str">
            <v xml:space="preserve"> Alat Baru</v>
          </cell>
        </row>
        <row r="327">
          <cell r="BO327">
            <v>869000000</v>
          </cell>
        </row>
        <row r="346">
          <cell r="BO346" t="str">
            <v xml:space="preserve"> Alat Baru</v>
          </cell>
        </row>
        <row r="347">
          <cell r="BO347">
            <v>924550000</v>
          </cell>
        </row>
        <row r="366">
          <cell r="BO366" t="str">
            <v xml:space="preserve"> Alat Baru</v>
          </cell>
        </row>
        <row r="367">
          <cell r="BO367">
            <v>1210000000</v>
          </cell>
        </row>
        <row r="386">
          <cell r="BO386" t="str">
            <v xml:space="preserve"> Alat Baru</v>
          </cell>
        </row>
        <row r="387">
          <cell r="BO387">
            <v>886050000</v>
          </cell>
        </row>
        <row r="406">
          <cell r="BO406" t="str">
            <v xml:space="preserve"> Alat Baru</v>
          </cell>
        </row>
        <row r="407">
          <cell r="BO407">
            <v>24750000</v>
          </cell>
        </row>
        <row r="426">
          <cell r="BO426" t="str">
            <v xml:space="preserve"> Alat Baru</v>
          </cell>
        </row>
        <row r="427">
          <cell r="BO427">
            <v>1650000000</v>
          </cell>
        </row>
        <row r="446">
          <cell r="BO446" t="str">
            <v xml:space="preserve"> Alat Baru</v>
          </cell>
        </row>
        <row r="447">
          <cell r="BO447">
            <v>21450000</v>
          </cell>
        </row>
        <row r="466">
          <cell r="BO466" t="str">
            <v xml:space="preserve"> Alat Baru</v>
          </cell>
        </row>
        <row r="467">
          <cell r="BO467">
            <v>211200000</v>
          </cell>
        </row>
        <row r="486">
          <cell r="BO486" t="str">
            <v xml:space="preserve"> Alat Baru</v>
          </cell>
        </row>
        <row r="487">
          <cell r="BO487">
            <v>618500000</v>
          </cell>
        </row>
        <row r="506">
          <cell r="BO506" t="str">
            <v xml:space="preserve"> Alat Baru</v>
          </cell>
        </row>
        <row r="507">
          <cell r="BO507">
            <v>14060000</v>
          </cell>
        </row>
        <row r="526">
          <cell r="BO526" t="str">
            <v xml:space="preserve"> Alat Baru</v>
          </cell>
        </row>
        <row r="527">
          <cell r="BO527">
            <v>33500000</v>
          </cell>
        </row>
        <row r="546">
          <cell r="BO546" t="str">
            <v xml:space="preserve"> Alat Baru</v>
          </cell>
        </row>
        <row r="547">
          <cell r="BO547">
            <v>46000000</v>
          </cell>
        </row>
        <row r="566">
          <cell r="BO566" t="str">
            <v xml:space="preserve"> Alat Baru</v>
          </cell>
        </row>
        <row r="567">
          <cell r="BO567">
            <v>182500000</v>
          </cell>
        </row>
        <row r="586">
          <cell r="BO586" t="str">
            <v xml:space="preserve"> Alat Baru</v>
          </cell>
        </row>
        <row r="587">
          <cell r="BO587">
            <v>266250000</v>
          </cell>
        </row>
        <row r="606">
          <cell r="BO606" t="str">
            <v xml:space="preserve"> Alat Baru</v>
          </cell>
        </row>
        <row r="607">
          <cell r="BO607">
            <v>170000000</v>
          </cell>
        </row>
        <row r="626">
          <cell r="BO626" t="str">
            <v xml:space="preserve"> Alat Baru</v>
          </cell>
        </row>
        <row r="627">
          <cell r="BO627">
            <v>350000000</v>
          </cell>
        </row>
        <row r="646">
          <cell r="BO646" t="str">
            <v xml:space="preserve"> Alat Baru</v>
          </cell>
        </row>
        <row r="647">
          <cell r="BO647">
            <v>17500000</v>
          </cell>
        </row>
        <row r="666">
          <cell r="BO666" t="str">
            <v xml:space="preserve"> Alat Baru</v>
          </cell>
        </row>
        <row r="667">
          <cell r="BO667">
            <v>2250000000</v>
          </cell>
        </row>
        <row r="697">
          <cell r="BO697" t="str">
            <v xml:space="preserve"> Alat Baru</v>
          </cell>
        </row>
        <row r="698">
          <cell r="BO698">
            <v>15000000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KAB"/>
      <sheetName val="SUDIRMAN"/>
      <sheetName val="Sheet1"/>
      <sheetName val="ANAL LIST"/>
      <sheetName val="ANALISA SIPIL"/>
      <sheetName val="BAHAN"/>
      <sheetName val="VOLUME"/>
      <sheetName val="TIME SCHEDULLE"/>
      <sheetName val="ANALISA ASPAL"/>
      <sheetName val="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6">
          <cell r="BO26" t="str">
            <v xml:space="preserve"> Alat Baru</v>
          </cell>
        </row>
        <row r="27">
          <cell r="BO27">
            <v>2700000000</v>
          </cell>
        </row>
        <row r="46">
          <cell r="BO46" t="str">
            <v xml:space="preserve"> Alat Baru</v>
          </cell>
        </row>
        <row r="47">
          <cell r="BO47">
            <v>2000000000</v>
          </cell>
        </row>
        <row r="66">
          <cell r="BO66" t="str">
            <v xml:space="preserve"> Alat Baru</v>
          </cell>
        </row>
        <row r="67">
          <cell r="BO67">
            <v>55000000</v>
          </cell>
        </row>
        <row r="86">
          <cell r="BO86" t="str">
            <v xml:space="preserve"> Alat Baru</v>
          </cell>
        </row>
        <row r="87">
          <cell r="BO87">
            <v>1060875000</v>
          </cell>
        </row>
        <row r="106">
          <cell r="BO106" t="str">
            <v xml:space="preserve"> Alat Baru</v>
          </cell>
        </row>
        <row r="107">
          <cell r="BO107">
            <v>40000000</v>
          </cell>
        </row>
        <row r="126">
          <cell r="BO126" t="str">
            <v xml:space="preserve"> Alat Baru</v>
          </cell>
        </row>
        <row r="127">
          <cell r="BO127">
            <v>18150000</v>
          </cell>
        </row>
        <row r="146">
          <cell r="BO146" t="str">
            <v xml:space="preserve"> Alat Baru</v>
          </cell>
        </row>
        <row r="147">
          <cell r="BO147">
            <v>1100000000</v>
          </cell>
        </row>
        <row r="166">
          <cell r="BO166" t="str">
            <v xml:space="preserve"> Alat Baru</v>
          </cell>
        </row>
        <row r="167">
          <cell r="BO167">
            <v>181500000</v>
          </cell>
        </row>
        <row r="186">
          <cell r="BO186" t="str">
            <v xml:space="preserve"> Alat Baru</v>
          </cell>
        </row>
        <row r="187">
          <cell r="BO187">
            <v>214500000</v>
          </cell>
        </row>
        <row r="206">
          <cell r="BO206" t="str">
            <v xml:space="preserve"> Alat Baru</v>
          </cell>
        </row>
        <row r="207">
          <cell r="BO207">
            <v>1100000000</v>
          </cell>
        </row>
        <row r="226">
          <cell r="BO226" t="str">
            <v xml:space="preserve"> Alat Baru</v>
          </cell>
        </row>
        <row r="227">
          <cell r="BO227">
            <v>128150000</v>
          </cell>
        </row>
        <row r="246">
          <cell r="BO246" t="str">
            <v xml:space="preserve"> Alat Baru</v>
          </cell>
        </row>
        <row r="247">
          <cell r="BO247">
            <v>185000000</v>
          </cell>
        </row>
        <row r="266">
          <cell r="BO266" t="str">
            <v xml:space="preserve"> Alat Baru</v>
          </cell>
        </row>
        <row r="267">
          <cell r="BO267">
            <v>1375000000</v>
          </cell>
        </row>
        <row r="286">
          <cell r="BO286" t="str">
            <v xml:space="preserve"> Alat Baru</v>
          </cell>
        </row>
        <row r="287">
          <cell r="BO287">
            <v>189000000</v>
          </cell>
        </row>
        <row r="306">
          <cell r="BO306" t="str">
            <v xml:space="preserve"> Alat Baru</v>
          </cell>
        </row>
        <row r="307">
          <cell r="BO307">
            <v>957000000</v>
          </cell>
        </row>
        <row r="326">
          <cell r="BO326" t="str">
            <v xml:space="preserve"> Alat Baru</v>
          </cell>
        </row>
        <row r="327">
          <cell r="BO327">
            <v>869000000</v>
          </cell>
        </row>
        <row r="346">
          <cell r="BO346" t="str">
            <v xml:space="preserve"> Alat Baru</v>
          </cell>
        </row>
        <row r="347">
          <cell r="BO347">
            <v>924550000</v>
          </cell>
        </row>
        <row r="366">
          <cell r="BO366" t="str">
            <v xml:space="preserve"> Alat Baru</v>
          </cell>
        </row>
        <row r="367">
          <cell r="BO367">
            <v>1210000000</v>
          </cell>
        </row>
        <row r="386">
          <cell r="BO386" t="str">
            <v xml:space="preserve"> Alat Baru</v>
          </cell>
        </row>
        <row r="387">
          <cell r="BO387">
            <v>886050000</v>
          </cell>
        </row>
        <row r="406">
          <cell r="BO406" t="str">
            <v xml:space="preserve"> Alat Baru</v>
          </cell>
        </row>
        <row r="407">
          <cell r="BO407">
            <v>24750000</v>
          </cell>
        </row>
        <row r="426">
          <cell r="BO426" t="str">
            <v xml:space="preserve"> Alat Baru</v>
          </cell>
        </row>
        <row r="427">
          <cell r="BO427">
            <v>1650000000</v>
          </cell>
        </row>
        <row r="446">
          <cell r="BO446" t="str">
            <v xml:space="preserve"> Alat Baru</v>
          </cell>
        </row>
        <row r="447">
          <cell r="BO447">
            <v>21450000</v>
          </cell>
        </row>
        <row r="466">
          <cell r="BO466" t="str">
            <v xml:space="preserve"> Alat Baru</v>
          </cell>
        </row>
        <row r="467">
          <cell r="BO467">
            <v>211200000</v>
          </cell>
        </row>
        <row r="486">
          <cell r="BO486" t="str">
            <v xml:space="preserve"> Alat Baru</v>
          </cell>
        </row>
        <row r="487">
          <cell r="BO487">
            <v>618500000</v>
          </cell>
        </row>
        <row r="506">
          <cell r="BO506" t="str">
            <v xml:space="preserve"> Alat Baru</v>
          </cell>
        </row>
        <row r="507">
          <cell r="BO507">
            <v>14060000</v>
          </cell>
        </row>
        <row r="526">
          <cell r="BO526" t="str">
            <v xml:space="preserve"> Alat Baru</v>
          </cell>
        </row>
        <row r="527">
          <cell r="BO527">
            <v>33500000</v>
          </cell>
        </row>
        <row r="546">
          <cell r="BO546" t="str">
            <v xml:space="preserve"> Alat Baru</v>
          </cell>
        </row>
        <row r="547">
          <cell r="BO547">
            <v>46000000</v>
          </cell>
        </row>
        <row r="566">
          <cell r="BO566" t="str">
            <v xml:space="preserve"> Alat Baru</v>
          </cell>
        </row>
        <row r="567">
          <cell r="BO567">
            <v>182500000</v>
          </cell>
        </row>
        <row r="586">
          <cell r="BO586" t="str">
            <v xml:space="preserve"> Alat Baru</v>
          </cell>
        </row>
        <row r="587">
          <cell r="BO587">
            <v>266250000</v>
          </cell>
        </row>
        <row r="606">
          <cell r="BO606" t="str">
            <v xml:space="preserve"> Alat Baru</v>
          </cell>
        </row>
        <row r="607">
          <cell r="BO607">
            <v>170000000</v>
          </cell>
        </row>
        <row r="626">
          <cell r="BO626" t="str">
            <v xml:space="preserve"> Alat Baru</v>
          </cell>
        </row>
        <row r="627">
          <cell r="BO627">
            <v>350000000</v>
          </cell>
        </row>
        <row r="646">
          <cell r="BO646" t="str">
            <v xml:space="preserve"> Alat Baru</v>
          </cell>
        </row>
        <row r="647">
          <cell r="BO647">
            <v>17500000</v>
          </cell>
        </row>
        <row r="666">
          <cell r="BO666" t="str">
            <v xml:space="preserve"> Alat Baru</v>
          </cell>
        </row>
        <row r="667">
          <cell r="BO667">
            <v>2250000000</v>
          </cell>
        </row>
        <row r="697">
          <cell r="BO697" t="str">
            <v xml:space="preserve"> Alat Baru</v>
          </cell>
        </row>
        <row r="698">
          <cell r="BO698">
            <v>15000000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V Aspal panas"/>
      <sheetName val="V Burda"/>
      <sheetName val="V Lapen"/>
      <sheetName val="V AC - WC"/>
      <sheetName val="V PEMBES"/>
      <sheetName val="V mortal "/>
      <sheetName val="V gl pas"/>
      <sheetName val="V grg"/>
      <sheetName val="V pas batu"/>
      <sheetName val="V Sal."/>
      <sheetName val="V penyia"/>
      <sheetName val="V GL BIASA"/>
      <sheetName val="V PENGIKAT"/>
      <sheetName val="V AC - WC (2)"/>
      <sheetName val="V KLAS A"/>
      <sheetName val="V TROTOAR"/>
      <sheetName val="V KERB"/>
      <sheetName val="V GAL STRK"/>
      <sheetName val="V pas batu "/>
      <sheetName val="TIMB. BIASA"/>
      <sheetName val="V KLAS C"/>
      <sheetName val="V BTN BRTLG (2)"/>
      <sheetName val="V BESI"/>
      <sheetName val="RAB"/>
      <sheetName val="Kwt&amp;hrg"/>
      <sheetName val="rekap hs &amp; Volume"/>
      <sheetName val="Pekerjaan Utama"/>
      <sheetName val="%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BAHAN"/>
      <sheetName val="Mobilisasi"/>
      <sheetName val="SCEDULT"/>
      <sheetName val="Sheet3"/>
      <sheetName val="SCEDULT (2)"/>
      <sheetName val="SCEDULT (3)"/>
      <sheetName val="SCEDULT (4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8"/>
      <sheetName val="L.3"/>
      <sheetName val="L.2"/>
      <sheetName val="L.14"/>
      <sheetName val="Mob"/>
      <sheetName val="ANL"/>
      <sheetName val="BHN"/>
      <sheetName val="L.1"/>
      <sheetName val="Peralatan"/>
      <sheetName val="L.6"/>
      <sheetName val="L.7a-b"/>
      <sheetName val="L.12"/>
      <sheetName val="LS-Rutin"/>
      <sheetName val="RUTIN"/>
      <sheetName val="L4c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upah"/>
      <sheetName val="ANL"/>
      <sheetName val="Analisa"/>
      <sheetName val="Rab"/>
      <sheetName val="Rab (2)"/>
      <sheetName val="Rab1"/>
      <sheetName val="Rab1 (2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Pekerjaan Utama"/>
      <sheetName val="%"/>
      <sheetName val="Rekap Biaya"/>
      <sheetName val="daftar kuantitas"/>
      <sheetName val="besi mortar 1"/>
      <sheetName val="MORTAR TYPE 1"/>
      <sheetName val="MORTAR TYPE 2"/>
      <sheetName val="besi mortar 2"/>
      <sheetName val="BOX CULVERT TYPE 1"/>
      <sheetName val="BESI BOX CULVERT TYPE 1"/>
      <sheetName val="BOX CULVERT TYPE 2 TUK ARAMCO"/>
      <sheetName val="BOX CULVERT TYPE 2"/>
      <sheetName val="BESI B.CULVERT II ARAMCO"/>
      <sheetName val="BESI BOX CULVERT TYPE 2"/>
      <sheetName val="GALIAN STRUKTUR"/>
      <sheetName val="V PAS. BATU (DIV 7) OKE"/>
      <sheetName val="ARAMCO 1"/>
      <sheetName val="cover"/>
      <sheetName val="pembatas"/>
      <sheetName val="BA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Peta Quarry"/>
      <sheetName val="Perhitungan Mobilisasi Alat"/>
      <sheetName val="Lalu Lintas"/>
      <sheetName val="Jembatan Sementara"/>
      <sheetName val="4-f.hb"/>
      <sheetName val="HB"/>
      <sheetName val="Rekap"/>
      <sheetName val="BOQ"/>
      <sheetName val="TS"/>
      <sheetName val="SPEK"/>
      <sheetName val="TK.2"/>
      <sheetName val="TK.1"/>
      <sheetName val="K.3"/>
      <sheetName val="MPU"/>
      <sheetName val="S.KON"/>
      <sheetName val="TNG"/>
      <sheetName val="ALT"/>
      <sheetName val="Sheet1"/>
      <sheetName val="D1"/>
      <sheetName val="D2"/>
      <sheetName val="D3"/>
      <sheetName val="D4"/>
      <sheetName val="D5"/>
      <sheetName val="D6"/>
      <sheetName val="D7(1)"/>
      <sheetName val="D7(2)"/>
      <sheetName val="D7(3)"/>
      <sheetName val="D6 ASBT"/>
      <sheetName val="D8(1)"/>
      <sheetName val="D8(2)"/>
      <sheetName val="D9"/>
      <sheetName val="D10 "/>
      <sheetName val="5-ALAT(1)"/>
      <sheetName val="D10 HSP"/>
      <sheetName val="Info"/>
      <sheetName val=".."/>
      <sheetName val="."/>
      <sheetName val="%"/>
      <sheetName val="1"/>
      <sheetName val="4-An.Quar"/>
      <sheetName val="5-ALAT (2)"/>
      <sheetName val="Agg H &amp; K"/>
      <sheetName val="Agg A"/>
      <sheetName val="Agg B"/>
      <sheetName val="Agg C"/>
      <sheetName val="D10 LS-Rut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D8" t="str">
            <v>(L01)</v>
          </cell>
          <cell r="E8" t="str">
            <v>Jam</v>
          </cell>
          <cell r="F8">
            <v>6428.5714285714284</v>
          </cell>
        </row>
        <row r="9">
          <cell r="D9" t="str">
            <v>(L02)</v>
          </cell>
          <cell r="E9" t="str">
            <v>Jam</v>
          </cell>
          <cell r="F9">
            <v>9428.5714285714294</v>
          </cell>
        </row>
        <row r="10">
          <cell r="D10" t="str">
            <v>(L03)</v>
          </cell>
          <cell r="E10" t="str">
            <v>Jam</v>
          </cell>
          <cell r="F10">
            <v>9000</v>
          </cell>
        </row>
        <row r="11">
          <cell r="D11" t="str">
            <v>(L04)</v>
          </cell>
          <cell r="E11" t="str">
            <v>Jam</v>
          </cell>
          <cell r="F11">
            <v>15714.285714285714</v>
          </cell>
        </row>
        <row r="12">
          <cell r="D12" t="str">
            <v>(L05)</v>
          </cell>
          <cell r="E12" t="str">
            <v>Jam</v>
          </cell>
          <cell r="F12">
            <v>9285.7142857142862</v>
          </cell>
        </row>
        <row r="13">
          <cell r="D13" t="str">
            <v>(L06)</v>
          </cell>
          <cell r="E13" t="str">
            <v>Jam</v>
          </cell>
          <cell r="F13">
            <v>9428.5714285714294</v>
          </cell>
        </row>
        <row r="14">
          <cell r="D14" t="str">
            <v>(L07)</v>
          </cell>
          <cell r="E14" t="str">
            <v>Jam</v>
          </cell>
          <cell r="F14">
            <v>9142.8571428571431</v>
          </cell>
        </row>
        <row r="15">
          <cell r="D15" t="str">
            <v>(L08)</v>
          </cell>
          <cell r="E15" t="str">
            <v>Jam</v>
          </cell>
          <cell r="F15">
            <v>9000</v>
          </cell>
        </row>
        <row r="16">
          <cell r="D16" t="str">
            <v>(L09)</v>
          </cell>
          <cell r="E16" t="str">
            <v>Jam</v>
          </cell>
          <cell r="F16">
            <v>8571.4285714285706</v>
          </cell>
        </row>
        <row r="17">
          <cell r="D17" t="str">
            <v>(L10)</v>
          </cell>
          <cell r="E17" t="str">
            <v>Jam</v>
          </cell>
          <cell r="F17">
            <v>11857.142857142857</v>
          </cell>
        </row>
      </sheetData>
      <sheetData sheetId="6">
        <row r="30">
          <cell r="I30">
            <v>3515271798.4930058</v>
          </cell>
        </row>
        <row r="32">
          <cell r="I32">
            <v>3866798978.3423061</v>
          </cell>
        </row>
      </sheetData>
      <sheetData sheetId="7">
        <row r="30">
          <cell r="H30">
            <v>161645000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9">
          <cell r="AY9">
            <v>5682275.6103367209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kapitulasi"/>
      <sheetName val="ANALISA"/>
      <sheetName val="HSAlat"/>
      <sheetName val="HSPekerja"/>
      <sheetName val="HSBahan"/>
      <sheetName val="hps"/>
      <sheetName val="hps ksng"/>
      <sheetName val="buoy"/>
      <sheetName val="Rekapksng"/>
      <sheetName val="Anlksg"/>
    </sheetNames>
    <sheetDataSet>
      <sheetData sheetId="0" refreshError="1"/>
      <sheetData sheetId="1">
        <row r="121">
          <cell r="H121">
            <v>112340</v>
          </cell>
        </row>
        <row r="134">
          <cell r="H134">
            <v>117730</v>
          </cell>
        </row>
        <row r="144">
          <cell r="H144">
            <v>86100</v>
          </cell>
        </row>
        <row r="173">
          <cell r="H173">
            <v>485100</v>
          </cell>
        </row>
        <row r="203">
          <cell r="H203">
            <v>31720</v>
          </cell>
        </row>
        <row r="215">
          <cell r="H215">
            <v>191020</v>
          </cell>
        </row>
        <row r="241">
          <cell r="H241">
            <v>610500</v>
          </cell>
        </row>
        <row r="251">
          <cell r="H251">
            <v>457470</v>
          </cell>
        </row>
        <row r="272">
          <cell r="H272">
            <v>187663</v>
          </cell>
        </row>
        <row r="296">
          <cell r="H296">
            <v>497610</v>
          </cell>
        </row>
        <row r="307">
          <cell r="H307">
            <v>589450</v>
          </cell>
        </row>
        <row r="377">
          <cell r="H377">
            <v>732646</v>
          </cell>
        </row>
        <row r="390">
          <cell r="H390">
            <v>796746</v>
          </cell>
        </row>
        <row r="427">
          <cell r="H427">
            <v>12900</v>
          </cell>
        </row>
        <row r="449">
          <cell r="H449">
            <v>167520</v>
          </cell>
        </row>
        <row r="475">
          <cell r="H475">
            <v>475450</v>
          </cell>
        </row>
        <row r="486">
          <cell r="H486">
            <v>2271980</v>
          </cell>
        </row>
        <row r="493">
          <cell r="H493">
            <v>5997220</v>
          </cell>
        </row>
        <row r="501">
          <cell r="H501">
            <v>5774860</v>
          </cell>
        </row>
        <row r="510">
          <cell r="H510">
            <v>6018780</v>
          </cell>
        </row>
        <row r="519">
          <cell r="H519">
            <v>1320530</v>
          </cell>
        </row>
        <row r="534">
          <cell r="H534">
            <v>1048030</v>
          </cell>
        </row>
        <row r="548">
          <cell r="H548">
            <v>3206530</v>
          </cell>
        </row>
        <row r="566">
          <cell r="H566">
            <v>611444</v>
          </cell>
        </row>
        <row r="577">
          <cell r="H577">
            <v>37070</v>
          </cell>
        </row>
        <row r="597">
          <cell r="H597">
            <v>33230</v>
          </cell>
        </row>
        <row r="616">
          <cell r="H616">
            <v>121230</v>
          </cell>
        </row>
        <row r="628">
          <cell r="H628">
            <v>124230</v>
          </cell>
        </row>
        <row r="640">
          <cell r="H640">
            <v>112666</v>
          </cell>
        </row>
        <row r="651">
          <cell r="H651">
            <v>145909</v>
          </cell>
        </row>
        <row r="664">
          <cell r="H664">
            <v>4012900</v>
          </cell>
        </row>
        <row r="674">
          <cell r="H674">
            <v>4756100</v>
          </cell>
        </row>
        <row r="684">
          <cell r="H684">
            <v>4381250</v>
          </cell>
        </row>
        <row r="736">
          <cell r="H736">
            <v>187076</v>
          </cell>
        </row>
        <row r="746">
          <cell r="H746">
            <v>93210</v>
          </cell>
        </row>
        <row r="791">
          <cell r="H791">
            <v>30654</v>
          </cell>
        </row>
        <row r="814">
          <cell r="H814">
            <v>1771613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arga Satuan"/>
      <sheetName val="Analisa"/>
      <sheetName val="Actual Check"/>
      <sheetName val="Sheet1"/>
      <sheetName val="Rencana Anggaran Biaya"/>
      <sheetName val="Rekapitulasi"/>
      <sheetName val="KUZEN"/>
      <sheetName val="Cek Kuzen"/>
      <sheetName val="time schedulle"/>
    </sheetNames>
    <sheetDataSet>
      <sheetData sheetId="0">
        <row r="3">
          <cell r="D3" t="str">
            <v>: PENINGKATAN &amp; PENGEMBANGAN RSUD DR AHMAD MUCHTAR</v>
          </cell>
        </row>
        <row r="4">
          <cell r="D4" t="str">
            <v>: REHABILITASI GEDUNG PERAWATAN RENOSARI</v>
          </cell>
        </row>
        <row r="5">
          <cell r="D5" t="str">
            <v>: BUKITTINGGI</v>
          </cell>
        </row>
        <row r="7">
          <cell r="E7" t="str">
            <v>Satuan</v>
          </cell>
          <cell r="F7" t="str">
            <v>Harga Satuan</v>
          </cell>
          <cell r="G7" t="str">
            <v>Ket.</v>
          </cell>
        </row>
        <row r="8">
          <cell r="E8" t="str">
            <v xml:space="preserve"> </v>
          </cell>
          <cell r="F8" t="str">
            <v xml:space="preserve"> (Rp.)</v>
          </cell>
          <cell r="G8" t="str">
            <v xml:space="preserve"> </v>
          </cell>
        </row>
        <row r="9">
          <cell r="E9" t="str">
            <v>3</v>
          </cell>
          <cell r="F9" t="str">
            <v>4</v>
          </cell>
          <cell r="G9" t="str">
            <v>5</v>
          </cell>
        </row>
        <row r="13">
          <cell r="E13" t="str">
            <v>Org</v>
          </cell>
          <cell r="F13">
            <v>32500</v>
          </cell>
        </row>
        <row r="14">
          <cell r="E14" t="str">
            <v>Org</v>
          </cell>
          <cell r="F14">
            <v>42500</v>
          </cell>
        </row>
        <row r="15">
          <cell r="E15" t="str">
            <v>Org</v>
          </cell>
          <cell r="F15">
            <v>37500</v>
          </cell>
        </row>
        <row r="16">
          <cell r="E16" t="str">
            <v>Org</v>
          </cell>
          <cell r="F16">
            <v>37500</v>
          </cell>
        </row>
        <row r="17">
          <cell r="E17" t="str">
            <v>Org</v>
          </cell>
          <cell r="F17">
            <v>37500</v>
          </cell>
        </row>
        <row r="18">
          <cell r="E18" t="str">
            <v>Org</v>
          </cell>
          <cell r="F18">
            <v>25000</v>
          </cell>
        </row>
        <row r="19">
          <cell r="E19" t="str">
            <v>Org</v>
          </cell>
          <cell r="F19">
            <v>22500</v>
          </cell>
        </row>
        <row r="22">
          <cell r="E22" t="str">
            <v>M³</v>
          </cell>
          <cell r="F22">
            <v>850000</v>
          </cell>
        </row>
        <row r="23">
          <cell r="E23" t="str">
            <v>Kg</v>
          </cell>
          <cell r="F23">
            <v>5000</v>
          </cell>
        </row>
        <row r="24">
          <cell r="E24" t="str">
            <v>Kg</v>
          </cell>
          <cell r="F24">
            <v>7500</v>
          </cell>
        </row>
        <row r="25">
          <cell r="E25" t="str">
            <v>Lbr</v>
          </cell>
          <cell r="F25">
            <v>24000</v>
          </cell>
        </row>
        <row r="26">
          <cell r="E26" t="str">
            <v>Lbr</v>
          </cell>
          <cell r="F26">
            <v>2500</v>
          </cell>
        </row>
        <row r="27">
          <cell r="E27" t="str">
            <v>Lbr</v>
          </cell>
          <cell r="F27">
            <v>2500</v>
          </cell>
        </row>
        <row r="28">
          <cell r="E28" t="str">
            <v>Lbr</v>
          </cell>
          <cell r="F28">
            <v>3500</v>
          </cell>
        </row>
        <row r="29">
          <cell r="E29" t="str">
            <v>Kg</v>
          </cell>
          <cell r="F29">
            <v>9000</v>
          </cell>
        </row>
        <row r="30">
          <cell r="E30" t="str">
            <v>Kg</v>
          </cell>
          <cell r="F30">
            <v>9000</v>
          </cell>
        </row>
        <row r="31">
          <cell r="E31" t="str">
            <v>Kg</v>
          </cell>
          <cell r="F31">
            <v>12500</v>
          </cell>
        </row>
        <row r="32">
          <cell r="E32" t="str">
            <v>Kg</v>
          </cell>
          <cell r="F32">
            <v>23000</v>
          </cell>
        </row>
        <row r="33">
          <cell r="E33" t="str">
            <v>Ltr</v>
          </cell>
          <cell r="F33">
            <v>5000</v>
          </cell>
        </row>
        <row r="34">
          <cell r="E34" t="str">
            <v>Kg</v>
          </cell>
          <cell r="F34">
            <v>5750</v>
          </cell>
        </row>
        <row r="35">
          <cell r="E35" t="str">
            <v>Kg</v>
          </cell>
          <cell r="F35">
            <v>6000</v>
          </cell>
        </row>
        <row r="36">
          <cell r="E36" t="str">
            <v>Zak</v>
          </cell>
          <cell r="F36">
            <v>60000</v>
          </cell>
        </row>
        <row r="37">
          <cell r="E37" t="str">
            <v>Zak</v>
          </cell>
          <cell r="F37">
            <v>28000</v>
          </cell>
        </row>
        <row r="38">
          <cell r="E38" t="str">
            <v>M³</v>
          </cell>
          <cell r="F38">
            <v>35000</v>
          </cell>
        </row>
        <row r="39">
          <cell r="E39" t="str">
            <v>M³</v>
          </cell>
          <cell r="F39">
            <v>45000</v>
          </cell>
        </row>
        <row r="40">
          <cell r="E40" t="str">
            <v>Bh</v>
          </cell>
          <cell r="F40">
            <v>275</v>
          </cell>
        </row>
        <row r="41">
          <cell r="E41" t="str">
            <v>Kg</v>
          </cell>
          <cell r="F41">
            <v>3500</v>
          </cell>
        </row>
        <row r="42">
          <cell r="E42" t="str">
            <v>Bh</v>
          </cell>
          <cell r="F42">
            <v>3954</v>
          </cell>
        </row>
        <row r="43">
          <cell r="E43" t="str">
            <v>Bh</v>
          </cell>
          <cell r="F43">
            <v>2600</v>
          </cell>
        </row>
        <row r="44">
          <cell r="E44" t="str">
            <v>Kg</v>
          </cell>
          <cell r="F44">
            <v>3500</v>
          </cell>
        </row>
        <row r="47">
          <cell r="F47" t="str">
            <v>Padang Panjang, 25 Agustus 2004</v>
          </cell>
        </row>
        <row r="49">
          <cell r="F49" t="str">
            <v>CV. HARI ANUGRAH</v>
          </cell>
        </row>
        <row r="54">
          <cell r="F54" t="str">
            <v>YESNELLI</v>
          </cell>
        </row>
        <row r="55">
          <cell r="F55" t="str">
            <v>Direktris</v>
          </cell>
        </row>
        <row r="58">
          <cell r="D58" t="str">
            <v>: PENINGKATAN &amp; PENGEMBANGAN RSUD DR AHMAD MUCHTAR</v>
          </cell>
        </row>
        <row r="59">
          <cell r="D59" t="str">
            <v>: REHABILITASI GEDUNG PERAWATAN RENOSARI</v>
          </cell>
        </row>
        <row r="60">
          <cell r="D60" t="str">
            <v>: BUKITTINGGI</v>
          </cell>
        </row>
        <row r="62">
          <cell r="E62" t="str">
            <v>Satuan</v>
          </cell>
          <cell r="F62" t="str">
            <v>Harga Satuan</v>
          </cell>
          <cell r="G62" t="str">
            <v>Ket.</v>
          </cell>
        </row>
        <row r="63">
          <cell r="E63" t="str">
            <v xml:space="preserve"> </v>
          </cell>
          <cell r="F63" t="str">
            <v xml:space="preserve"> (Rp.)</v>
          </cell>
          <cell r="G63" t="str">
            <v xml:space="preserve"> </v>
          </cell>
        </row>
        <row r="64">
          <cell r="E64" t="str">
            <v>3</v>
          </cell>
          <cell r="F64" t="str">
            <v>4</v>
          </cell>
          <cell r="G64" t="str">
            <v>5</v>
          </cell>
        </row>
      </sheetData>
      <sheetData sheetId="1">
        <row r="1">
          <cell r="A1" t="str">
            <v>DAFTAR ANALISA SATUAN PEKERJAAN</v>
          </cell>
        </row>
        <row r="3">
          <cell r="B3" t="str">
            <v>P r o y e k</v>
          </cell>
          <cell r="C3" t="str">
            <v>: PENINGKATAN &amp; PENGEMBANGAN RSUD DR AHMAD MUCHTAR</v>
          </cell>
        </row>
        <row r="4">
          <cell r="B4" t="str">
            <v>Pekerjaan</v>
          </cell>
          <cell r="C4" t="str">
            <v>: REHABILITASI GEDUNG PERAWATAN RENOSARI</v>
          </cell>
        </row>
        <row r="5">
          <cell r="B5" t="str">
            <v>Lokasi</v>
          </cell>
          <cell r="C5" t="str">
            <v>: BUKITTINGGI</v>
          </cell>
        </row>
        <row r="9">
          <cell r="A9">
            <v>1</v>
          </cell>
          <cell r="B9" t="str">
            <v>Pas. Balok Loteng - Anal.F.1/ M³</v>
          </cell>
        </row>
        <row r="10">
          <cell r="B10">
            <v>5</v>
          </cell>
          <cell r="D10" t="str">
            <v>Pekerja</v>
          </cell>
          <cell r="E10" t="str">
            <v>@ Rp.</v>
          </cell>
          <cell r="F10">
            <v>25000</v>
          </cell>
          <cell r="G10" t="str">
            <v>Rp.</v>
          </cell>
          <cell r="H10">
            <v>125000</v>
          </cell>
        </row>
        <row r="11">
          <cell r="B11">
            <v>0.25</v>
          </cell>
          <cell r="D11" t="str">
            <v>Mandor</v>
          </cell>
          <cell r="E11" t="str">
            <v>@ Rp.</v>
          </cell>
          <cell r="F11">
            <v>32500</v>
          </cell>
          <cell r="G11" t="str">
            <v>Rp.</v>
          </cell>
          <cell r="H11">
            <v>8125</v>
          </cell>
        </row>
        <row r="12">
          <cell r="B12">
            <v>15</v>
          </cell>
          <cell r="D12" t="str">
            <v>Tukang Kayu</v>
          </cell>
          <cell r="E12" t="str">
            <v>@ Rp.</v>
          </cell>
          <cell r="F12">
            <v>37500</v>
          </cell>
          <cell r="G12" t="str">
            <v>Rp.</v>
          </cell>
          <cell r="H12">
            <v>562500</v>
          </cell>
        </row>
        <row r="13">
          <cell r="B13">
            <v>1.5</v>
          </cell>
          <cell r="D13" t="str">
            <v xml:space="preserve">Kepala Tukang </v>
          </cell>
          <cell r="E13" t="str">
            <v>@ Rp.</v>
          </cell>
          <cell r="F13">
            <v>32500</v>
          </cell>
          <cell r="G13" t="str">
            <v>Rp.</v>
          </cell>
          <cell r="H13">
            <v>48750</v>
          </cell>
        </row>
        <row r="14">
          <cell r="B14">
            <v>1.1000000000000001</v>
          </cell>
          <cell r="C14" t="str">
            <v>M3</v>
          </cell>
          <cell r="D14" t="str">
            <v>Kayu Rangka Klas II</v>
          </cell>
          <cell r="E14" t="str">
            <v>@ Rp.</v>
          </cell>
          <cell r="F14">
            <v>850000</v>
          </cell>
          <cell r="G14" t="str">
            <v>Rp.</v>
          </cell>
          <cell r="H14">
            <v>935000.00000000012</v>
          </cell>
        </row>
        <row r="15">
          <cell r="B15">
            <v>9</v>
          </cell>
          <cell r="C15" t="str">
            <v>Kg</v>
          </cell>
          <cell r="D15" t="str">
            <v>Paku</v>
          </cell>
          <cell r="E15" t="str">
            <v>@ Rp.</v>
          </cell>
          <cell r="F15">
            <v>5000</v>
          </cell>
          <cell r="G15" t="str">
            <v>Rp.</v>
          </cell>
          <cell r="H15">
            <v>45000</v>
          </cell>
        </row>
        <row r="16">
          <cell r="G16" t="str">
            <v xml:space="preserve"> </v>
          </cell>
          <cell r="H16" t="str">
            <v xml:space="preserve"> </v>
          </cell>
          <cell r="I16" t="str">
            <v>Rp.</v>
          </cell>
          <cell r="J16">
            <v>1724375</v>
          </cell>
        </row>
        <row r="17">
          <cell r="A17">
            <v>2</v>
          </cell>
          <cell r="B17" t="str">
            <v>Pas. Loteng Eternit - Anal.H.11 a/ M²</v>
          </cell>
        </row>
        <row r="18">
          <cell r="A18" t="str">
            <v xml:space="preserve"> </v>
          </cell>
          <cell r="B18">
            <v>0.2</v>
          </cell>
          <cell r="D18" t="str">
            <v>Tukang Kayu</v>
          </cell>
          <cell r="E18" t="str">
            <v>@ Rp.</v>
          </cell>
          <cell r="F18">
            <v>37500</v>
          </cell>
          <cell r="G18" t="str">
            <v>Rp.</v>
          </cell>
          <cell r="H18">
            <v>7500</v>
          </cell>
        </row>
        <row r="19">
          <cell r="B19">
            <v>0.02</v>
          </cell>
          <cell r="D19" t="str">
            <v xml:space="preserve">Kepala Tukang </v>
          </cell>
          <cell r="E19" t="str">
            <v>@ Rp.</v>
          </cell>
          <cell r="F19">
            <v>32500</v>
          </cell>
          <cell r="G19" t="str">
            <v>Rp.</v>
          </cell>
          <cell r="H19">
            <v>650</v>
          </cell>
        </row>
        <row r="20">
          <cell r="B20">
            <v>1.4</v>
          </cell>
          <cell r="C20" t="str">
            <v>Lbr</v>
          </cell>
          <cell r="D20" t="str">
            <v>Eternit 100x100cm</v>
          </cell>
          <cell r="E20" t="str">
            <v>@ Rp.</v>
          </cell>
          <cell r="F20">
            <v>24000</v>
          </cell>
          <cell r="G20" t="str">
            <v>Rp.</v>
          </cell>
          <cell r="H20">
            <v>33600</v>
          </cell>
        </row>
        <row r="21">
          <cell r="B21">
            <v>0.01</v>
          </cell>
          <cell r="C21" t="str">
            <v>Kg</v>
          </cell>
          <cell r="D21" t="str">
            <v>Paku Eternit</v>
          </cell>
          <cell r="E21" t="str">
            <v>@ Rp.</v>
          </cell>
          <cell r="F21">
            <v>7500</v>
          </cell>
          <cell r="G21" t="str">
            <v>Rp.</v>
          </cell>
          <cell r="H21">
            <v>75</v>
          </cell>
        </row>
        <row r="22">
          <cell r="G22" t="str">
            <v xml:space="preserve"> </v>
          </cell>
          <cell r="H22" t="str">
            <v xml:space="preserve"> </v>
          </cell>
          <cell r="I22" t="str">
            <v>Rp.</v>
          </cell>
          <cell r="J22">
            <v>41825</v>
          </cell>
        </row>
        <row r="23">
          <cell r="A23">
            <v>3</v>
          </cell>
          <cell r="B23" t="str">
            <v>Pas. Loteng Lambersering Anal F.37/M2</v>
          </cell>
        </row>
        <row r="24">
          <cell r="B24">
            <v>0.8</v>
          </cell>
          <cell r="D24" t="str">
            <v>Tukang Kayu</v>
          </cell>
          <cell r="E24" t="str">
            <v>@ Rp.</v>
          </cell>
          <cell r="F24">
            <v>37500</v>
          </cell>
          <cell r="G24" t="str">
            <v>Rp.</v>
          </cell>
          <cell r="H24">
            <v>30000</v>
          </cell>
        </row>
        <row r="25">
          <cell r="B25">
            <v>0.08</v>
          </cell>
          <cell r="D25" t="str">
            <v>Kepala Tukang</v>
          </cell>
          <cell r="E25" t="str">
            <v>@ Rp.</v>
          </cell>
          <cell r="F25">
            <v>42500</v>
          </cell>
          <cell r="G25" t="str">
            <v>Rp.</v>
          </cell>
          <cell r="H25">
            <v>3400</v>
          </cell>
        </row>
        <row r="26">
          <cell r="B26">
            <v>0.28000000000000003</v>
          </cell>
          <cell r="D26" t="str">
            <v>Pekerja</v>
          </cell>
          <cell r="E26" t="str">
            <v>@ Rp.</v>
          </cell>
          <cell r="F26">
            <v>25000</v>
          </cell>
          <cell r="G26" t="str">
            <v>Rp.</v>
          </cell>
          <cell r="H26">
            <v>7000.0000000000009</v>
          </cell>
        </row>
        <row r="27">
          <cell r="B27">
            <v>1.4E-2</v>
          </cell>
          <cell r="D27" t="str">
            <v>Mandor</v>
          </cell>
          <cell r="E27" t="str">
            <v>@ Rp.</v>
          </cell>
          <cell r="F27">
            <v>32500</v>
          </cell>
          <cell r="G27" t="str">
            <v>Rp.</v>
          </cell>
          <cell r="H27">
            <v>455</v>
          </cell>
        </row>
        <row r="28">
          <cell r="G28" t="str">
            <v>Rp.</v>
          </cell>
          <cell r="H28">
            <v>40855</v>
          </cell>
        </row>
        <row r="29">
          <cell r="C29" t="str">
            <v>0.5 x</v>
          </cell>
          <cell r="D29" t="str">
            <v xml:space="preserve">Upah </v>
          </cell>
          <cell r="G29" t="str">
            <v>Rp.</v>
          </cell>
          <cell r="H29">
            <v>20427.5</v>
          </cell>
        </row>
        <row r="31">
          <cell r="B31">
            <v>1.1000000000000001</v>
          </cell>
          <cell r="D31" t="str">
            <v>Papan Lambersering</v>
          </cell>
          <cell r="E31" t="str">
            <v>@ Rp.</v>
          </cell>
          <cell r="F31">
            <v>22500</v>
          </cell>
          <cell r="G31" t="str">
            <v>Rp.</v>
          </cell>
          <cell r="H31">
            <v>24750.000000000004</v>
          </cell>
        </row>
        <row r="32">
          <cell r="B32">
            <v>0.06</v>
          </cell>
          <cell r="D32" t="str">
            <v>Paku</v>
          </cell>
          <cell r="E32" t="str">
            <v>@ Rp.</v>
          </cell>
          <cell r="F32">
            <v>7000</v>
          </cell>
          <cell r="G32" t="str">
            <v>Rp.</v>
          </cell>
          <cell r="H32">
            <v>420</v>
          </cell>
        </row>
        <row r="33">
          <cell r="G33" t="str">
            <v>Rp.</v>
          </cell>
          <cell r="H33">
            <v>25170.000000000004</v>
          </cell>
          <cell r="I33" t="str">
            <v>Rp.</v>
          </cell>
          <cell r="J33">
            <v>45597.5</v>
          </cell>
        </row>
        <row r="35">
          <cell r="A35">
            <v>4</v>
          </cell>
          <cell r="B35" t="str">
            <v>Analisa K.23 (100 M² Upah Mencat 1 x Jalan)</v>
          </cell>
        </row>
        <row r="36">
          <cell r="B36">
            <v>0.5</v>
          </cell>
          <cell r="D36" t="str">
            <v>Pekerja</v>
          </cell>
          <cell r="E36" t="str">
            <v>@ Rp.</v>
          </cell>
          <cell r="F36">
            <v>25000</v>
          </cell>
          <cell r="G36" t="str">
            <v>Rp.</v>
          </cell>
          <cell r="H36">
            <v>12500</v>
          </cell>
        </row>
        <row r="37">
          <cell r="B37">
            <v>2.5000000000000001E-2</v>
          </cell>
          <cell r="D37" t="str">
            <v>Mandor</v>
          </cell>
          <cell r="E37" t="str">
            <v>@ Rp.</v>
          </cell>
          <cell r="F37">
            <v>32500</v>
          </cell>
          <cell r="G37" t="str">
            <v>Rp.</v>
          </cell>
          <cell r="H37">
            <v>812.5</v>
          </cell>
        </row>
        <row r="38">
          <cell r="B38">
            <v>0.75</v>
          </cell>
          <cell r="D38" t="str">
            <v>Tukang Cat</v>
          </cell>
          <cell r="E38" t="str">
            <v>@ Rp.</v>
          </cell>
          <cell r="F38">
            <v>37500</v>
          </cell>
          <cell r="G38" t="str">
            <v>Rp.</v>
          </cell>
          <cell r="H38">
            <v>28125</v>
          </cell>
        </row>
        <row r="39">
          <cell r="B39">
            <v>7.4999999999999997E-2</v>
          </cell>
          <cell r="D39" t="str">
            <v xml:space="preserve">Kepala Tukang </v>
          </cell>
          <cell r="E39" t="str">
            <v>@ Rp.</v>
          </cell>
          <cell r="F39">
            <v>42500</v>
          </cell>
          <cell r="G39" t="str">
            <v>Rp.</v>
          </cell>
          <cell r="H39">
            <v>3187.5</v>
          </cell>
        </row>
        <row r="40">
          <cell r="D40" t="str">
            <v>Upah x 0.75</v>
          </cell>
          <cell r="G40" t="str">
            <v>Rp.</v>
          </cell>
          <cell r="H40">
            <v>44625</v>
          </cell>
          <cell r="I40" t="str">
            <v>Rp.</v>
          </cell>
          <cell r="J40">
            <v>33468.75</v>
          </cell>
        </row>
        <row r="43">
          <cell r="A43">
            <v>5</v>
          </cell>
          <cell r="B43" t="str">
            <v>Analisa K.18+K.23 (Memenie 1 x jalan / 10  M²)</v>
          </cell>
        </row>
        <row r="44">
          <cell r="B44">
            <v>1</v>
          </cell>
          <cell r="D44" t="str">
            <v>Analisa K.23</v>
          </cell>
          <cell r="E44" t="str">
            <v>@ Rp.</v>
          </cell>
          <cell r="F44">
            <v>33468.75</v>
          </cell>
          <cell r="G44" t="str">
            <v>Rp.</v>
          </cell>
          <cell r="H44">
            <v>33468.75</v>
          </cell>
        </row>
        <row r="46">
          <cell r="B46">
            <v>1.2</v>
          </cell>
          <cell r="C46" t="str">
            <v>Kg</v>
          </cell>
          <cell r="D46" t="str">
            <v>Cat Menie Kayu</v>
          </cell>
          <cell r="E46" t="str">
            <v>@ Rp.</v>
          </cell>
          <cell r="F46">
            <v>12500</v>
          </cell>
          <cell r="G46" t="str">
            <v>Rp.</v>
          </cell>
          <cell r="H46">
            <v>15000</v>
          </cell>
        </row>
        <row r="47">
          <cell r="D47" t="str">
            <v>Bahan (x 0.75 )</v>
          </cell>
          <cell r="E47" t="str">
            <v>@ Rp.</v>
          </cell>
          <cell r="F47">
            <v>15000</v>
          </cell>
          <cell r="G47" t="str">
            <v>Rp.</v>
          </cell>
          <cell r="H47">
            <v>11250</v>
          </cell>
        </row>
        <row r="48">
          <cell r="D48" t="str">
            <v>Untuk 1 M² = 1/10 x Bahan 0.75</v>
          </cell>
          <cell r="G48" t="str">
            <v>Rp.</v>
          </cell>
          <cell r="H48">
            <v>44718.75</v>
          </cell>
          <cell r="I48" t="str">
            <v>Rp.</v>
          </cell>
          <cell r="J48">
            <v>4471.875</v>
          </cell>
        </row>
        <row r="50">
          <cell r="A50">
            <v>6</v>
          </cell>
          <cell r="B50" t="str">
            <v>Analisa K.30 (10 M²  Dompol/Plamour 1 x Jalan)</v>
          </cell>
        </row>
        <row r="51">
          <cell r="B51">
            <v>1.4</v>
          </cell>
          <cell r="D51" t="str">
            <v>Tukang Cat</v>
          </cell>
          <cell r="E51" t="str">
            <v>@ Rp.</v>
          </cell>
          <cell r="F51">
            <v>37500</v>
          </cell>
          <cell r="G51" t="str">
            <v>Rp.</v>
          </cell>
          <cell r="H51">
            <v>52500</v>
          </cell>
        </row>
        <row r="52">
          <cell r="B52">
            <v>0.14000000000000001</v>
          </cell>
          <cell r="D52" t="str">
            <v xml:space="preserve">Kepala Tukang </v>
          </cell>
          <cell r="E52" t="str">
            <v>@ Rp.</v>
          </cell>
          <cell r="F52">
            <v>42500</v>
          </cell>
          <cell r="G52" t="str">
            <v>Rp.</v>
          </cell>
          <cell r="H52">
            <v>5950.0000000000009</v>
          </cell>
        </row>
        <row r="53">
          <cell r="G53" t="str">
            <v>Rp.</v>
          </cell>
          <cell r="H53">
            <v>58450</v>
          </cell>
        </row>
        <row r="54">
          <cell r="B54">
            <v>1.26</v>
          </cell>
          <cell r="C54" t="str">
            <v>Kg</v>
          </cell>
          <cell r="D54" t="str">
            <v xml:space="preserve">Dompol </v>
          </cell>
          <cell r="E54" t="str">
            <v>@ Rp.</v>
          </cell>
          <cell r="F54">
            <v>9000</v>
          </cell>
          <cell r="G54" t="str">
            <v>Rp.</v>
          </cell>
          <cell r="H54">
            <v>11340</v>
          </cell>
        </row>
        <row r="55">
          <cell r="B55">
            <v>2</v>
          </cell>
          <cell r="C55" t="str">
            <v>Lbr</v>
          </cell>
          <cell r="D55" t="str">
            <v>Amplas</v>
          </cell>
          <cell r="E55" t="str">
            <v>@ Rp.</v>
          </cell>
          <cell r="F55">
            <v>3500</v>
          </cell>
          <cell r="G55" t="str">
            <v>Rp.</v>
          </cell>
          <cell r="H55">
            <v>7000</v>
          </cell>
        </row>
        <row r="56">
          <cell r="H56">
            <v>18340</v>
          </cell>
          <cell r="I56" t="str">
            <v>Rp.</v>
          </cell>
          <cell r="J56">
            <v>135240</v>
          </cell>
        </row>
      </sheetData>
      <sheetData sheetId="2"/>
      <sheetData sheetId="3"/>
      <sheetData sheetId="4">
        <row r="1">
          <cell r="A1" t="str">
            <v>RENCANA ANGGARAN BIAYA (RAB)</v>
          </cell>
        </row>
        <row r="2">
          <cell r="B2" t="str">
            <v xml:space="preserve"> </v>
          </cell>
        </row>
        <row r="3">
          <cell r="A3" t="str">
            <v>P r o y e k</v>
          </cell>
          <cell r="D3" t="str">
            <v>: PENINGKATAN &amp; PENGEMBANGAN RSUD DR AHMAD MUCHTAR</v>
          </cell>
        </row>
        <row r="4">
          <cell r="A4" t="str">
            <v>Pekerjaan</v>
          </cell>
          <cell r="D4" t="str">
            <v>: REHABILITASI GEDUNG PERAWATAN RENOSARI</v>
          </cell>
        </row>
        <row r="5">
          <cell r="A5" t="str">
            <v>Lokasi</v>
          </cell>
          <cell r="D5" t="str">
            <v>: BUKITTINGGI</v>
          </cell>
        </row>
        <row r="6">
          <cell r="I6" t="str">
            <v xml:space="preserve"> </v>
          </cell>
        </row>
        <row r="7">
          <cell r="A7" t="str">
            <v>No.</v>
          </cell>
          <cell r="B7" t="str">
            <v xml:space="preserve">         Uraian Pekerjaan</v>
          </cell>
          <cell r="E7" t="str">
            <v>Sat.</v>
          </cell>
          <cell r="F7" t="str">
            <v>Volume</v>
          </cell>
          <cell r="G7" t="str">
            <v>Harga Satuan</v>
          </cell>
          <cell r="H7" t="str">
            <v>Jumlah Satuan</v>
          </cell>
          <cell r="I7" t="str">
            <v>Total</v>
          </cell>
        </row>
        <row r="8">
          <cell r="F8" t="str">
            <v xml:space="preserve"> </v>
          </cell>
          <cell r="G8" t="str">
            <v>( Rp.)</v>
          </cell>
          <cell r="H8" t="str">
            <v>( Rp.)</v>
          </cell>
          <cell r="I8" t="str">
            <v>( Rp.)</v>
          </cell>
        </row>
        <row r="9">
          <cell r="A9" t="str">
            <v>1</v>
          </cell>
          <cell r="B9" t="str">
            <v>2</v>
          </cell>
          <cell r="E9" t="str">
            <v>3</v>
          </cell>
          <cell r="F9" t="str">
            <v>4</v>
          </cell>
          <cell r="G9" t="str">
            <v>5</v>
          </cell>
          <cell r="H9" t="str">
            <v>6</v>
          </cell>
          <cell r="I9" t="str">
            <v>7</v>
          </cell>
        </row>
        <row r="11">
          <cell r="A11" t="str">
            <v>I</v>
          </cell>
          <cell r="B11" t="str">
            <v>PEKERJAAN LOTENG</v>
          </cell>
        </row>
        <row r="12">
          <cell r="A12">
            <v>1</v>
          </cell>
          <cell r="B12" t="str">
            <v xml:space="preserve">Pekerjaan Pembongkaran </v>
          </cell>
          <cell r="E12" t="str">
            <v>M²</v>
          </cell>
          <cell r="F12">
            <v>224.3</v>
          </cell>
          <cell r="G12">
            <v>6000</v>
          </cell>
          <cell r="H12">
            <v>1345800</v>
          </cell>
        </row>
        <row r="14">
          <cell r="A14">
            <v>2</v>
          </cell>
          <cell r="B14" t="str">
            <v>Pekerjaan  Rangka Loteng</v>
          </cell>
        </row>
        <row r="15">
          <cell r="A15" t="str">
            <v xml:space="preserve"> </v>
          </cell>
          <cell r="B15" t="str">
            <v>a.</v>
          </cell>
          <cell r="C15" t="str">
            <v>Pas. Rangka Loteng</v>
          </cell>
          <cell r="E15" t="str">
            <v>M³</v>
          </cell>
          <cell r="F15">
            <v>1</v>
          </cell>
          <cell r="G15">
            <v>1724375</v>
          </cell>
          <cell r="H15">
            <v>1724375</v>
          </cell>
        </row>
        <row r="16">
          <cell r="B16" t="str">
            <v>b.</v>
          </cell>
          <cell r="C16" t="str">
            <v>Memenie Rangka Loteng</v>
          </cell>
          <cell r="E16" t="str">
            <v>M²</v>
          </cell>
          <cell r="F16">
            <v>96.7</v>
          </cell>
          <cell r="G16">
            <v>4471.875</v>
          </cell>
          <cell r="H16">
            <v>432430.3125</v>
          </cell>
        </row>
        <row r="18">
          <cell r="A18">
            <v>3</v>
          </cell>
          <cell r="B18" t="str">
            <v>Pekerjaan Loteng</v>
          </cell>
        </row>
        <row r="19">
          <cell r="B19" t="str">
            <v>a.</v>
          </cell>
          <cell r="C19" t="str">
            <v>Pas. Loteng Lambersering 1.5/6</v>
          </cell>
          <cell r="E19" t="str">
            <v>M²</v>
          </cell>
          <cell r="F19">
            <v>192.7</v>
          </cell>
          <cell r="G19">
            <v>45597.5</v>
          </cell>
          <cell r="H19">
            <v>8786638.25</v>
          </cell>
        </row>
        <row r="20">
          <cell r="B20" t="str">
            <v>b.</v>
          </cell>
          <cell r="C20" t="str">
            <v>Pas. Loteng Eternit</v>
          </cell>
          <cell r="E20" t="str">
            <v>M²</v>
          </cell>
          <cell r="F20">
            <v>30.79</v>
          </cell>
          <cell r="G20">
            <v>41825</v>
          </cell>
          <cell r="H20">
            <v>1287791.75</v>
          </cell>
        </row>
        <row r="21">
          <cell r="A21" t="str">
            <v xml:space="preserve"> </v>
          </cell>
          <cell r="B21" t="str">
            <v>c.</v>
          </cell>
          <cell r="C21" t="str">
            <v>Pas. Les Pinggir Profil 4,5x4,5 cm</v>
          </cell>
          <cell r="E21" t="str">
            <v>M¹</v>
          </cell>
          <cell r="F21">
            <v>301.5</v>
          </cell>
          <cell r="G21">
            <v>4000</v>
          </cell>
          <cell r="H21">
            <v>1206000</v>
          </cell>
        </row>
        <row r="22">
          <cell r="A22" t="str">
            <v xml:space="preserve"> </v>
          </cell>
          <cell r="I22">
            <v>14783035.3125</v>
          </cell>
        </row>
        <row r="23">
          <cell r="A23" t="str">
            <v>II</v>
          </cell>
          <cell r="B23" t="str">
            <v>PEKERJAAN LANTAI</v>
          </cell>
        </row>
        <row r="24">
          <cell r="A24">
            <v>1</v>
          </cell>
          <cell r="B24" t="str">
            <v>Pekerjaan Pembongkaran</v>
          </cell>
        </row>
        <row r="25">
          <cell r="B25" t="str">
            <v>a.</v>
          </cell>
          <cell r="C25" t="str">
            <v>Pekerjaan Pembongkaran Lantai</v>
          </cell>
          <cell r="E25" t="str">
            <v>M²</v>
          </cell>
          <cell r="F25">
            <v>79.400000000000006</v>
          </cell>
          <cell r="G25">
            <v>5325</v>
          </cell>
          <cell r="H25">
            <v>422805.00000000006</v>
          </cell>
        </row>
        <row r="27">
          <cell r="A27">
            <v>2</v>
          </cell>
          <cell r="B27" t="str">
            <v>Pekerjaan Lantai</v>
          </cell>
        </row>
        <row r="28">
          <cell r="A28" t="str">
            <v xml:space="preserve"> </v>
          </cell>
          <cell r="B28" t="str">
            <v>a.</v>
          </cell>
          <cell r="C28" t="str">
            <v>Pas. Lantai Keramik 30x30 cm ruangan</v>
          </cell>
          <cell r="E28" t="str">
            <v>M²</v>
          </cell>
          <cell r="F28">
            <v>79.400000000000006</v>
          </cell>
          <cell r="G28">
            <v>76834</v>
          </cell>
          <cell r="H28">
            <v>6100619.6000000006</v>
          </cell>
        </row>
        <row r="29">
          <cell r="A29" t="str">
            <v xml:space="preserve"> </v>
          </cell>
          <cell r="I29">
            <v>6523424.6000000006</v>
          </cell>
        </row>
        <row r="31">
          <cell r="A31" t="str">
            <v>III</v>
          </cell>
          <cell r="B31" t="str">
            <v>PEKERJAAN PENGECATAN</v>
          </cell>
        </row>
        <row r="32">
          <cell r="A32">
            <v>1</v>
          </cell>
          <cell r="B32" t="str">
            <v>Mencat dengan Cat Minyak</v>
          </cell>
        </row>
        <row r="33">
          <cell r="B33" t="str">
            <v>a.</v>
          </cell>
          <cell r="C33" t="str">
            <v>Pekerjaan Pengecatan Kayu Yang Kelihatan</v>
          </cell>
          <cell r="E33" t="str">
            <v>M²</v>
          </cell>
          <cell r="F33">
            <v>646.49</v>
          </cell>
          <cell r="G33">
            <v>9959.75</v>
          </cell>
          <cell r="H33">
            <v>6438878.7774999999</v>
          </cell>
        </row>
        <row r="34">
          <cell r="B34" t="str">
            <v>b.</v>
          </cell>
          <cell r="C34" t="str">
            <v>Mencat Loteng Luar ( Lambersering)</v>
          </cell>
          <cell r="E34" t="str">
            <v>M²</v>
          </cell>
          <cell r="F34">
            <v>192.7</v>
          </cell>
          <cell r="G34">
            <v>16822.625</v>
          </cell>
          <cell r="H34">
            <v>3241719.8374999999</v>
          </cell>
        </row>
        <row r="36">
          <cell r="A36">
            <v>2</v>
          </cell>
          <cell r="B36" t="str">
            <v>Mencat dengan Cat Air</v>
          </cell>
        </row>
        <row r="37">
          <cell r="A37" t="str">
            <v xml:space="preserve"> </v>
          </cell>
          <cell r="B37" t="str">
            <v>a.</v>
          </cell>
          <cell r="C37" t="str">
            <v>Mencat Loteng ( Eternit )</v>
          </cell>
          <cell r="E37" t="str">
            <v>M²</v>
          </cell>
          <cell r="F37">
            <v>735.79</v>
          </cell>
          <cell r="G37">
            <v>11764.55</v>
          </cell>
          <cell r="H37">
            <v>8656238.2444999982</v>
          </cell>
        </row>
        <row r="38">
          <cell r="B38" t="str">
            <v>b.</v>
          </cell>
          <cell r="C38" t="str">
            <v>Mencat Dinding</v>
          </cell>
          <cell r="E38" t="str">
            <v>M²</v>
          </cell>
          <cell r="F38">
            <v>1832.91</v>
          </cell>
          <cell r="G38">
            <v>11764.55</v>
          </cell>
          <cell r="H38">
            <v>21563361.340500001</v>
          </cell>
          <cell r="I38">
            <v>39900198.200000003</v>
          </cell>
        </row>
        <row r="40">
          <cell r="A40" t="str">
            <v>IV</v>
          </cell>
          <cell r="B40" t="str">
            <v>PEKERJAAN ATAP</v>
          </cell>
        </row>
        <row r="41">
          <cell r="B41" t="str">
            <v>a. Pek. Pembongkaran talang air</v>
          </cell>
          <cell r="E41" t="str">
            <v>ls</v>
          </cell>
          <cell r="F41">
            <v>1</v>
          </cell>
          <cell r="G41">
            <v>250000</v>
          </cell>
          <cell r="H41">
            <v>250000</v>
          </cell>
        </row>
        <row r="42">
          <cell r="B42" t="str">
            <v>b. Pas. Soket lurus 3 "</v>
          </cell>
          <cell r="E42" t="str">
            <v>bh</v>
          </cell>
          <cell r="F42">
            <v>18</v>
          </cell>
          <cell r="G42">
            <v>5000</v>
          </cell>
          <cell r="H42">
            <v>90000</v>
          </cell>
        </row>
        <row r="43">
          <cell r="B43" t="str">
            <v>c. Pas keni 3 "</v>
          </cell>
          <cell r="E43" t="str">
            <v>bh</v>
          </cell>
          <cell r="F43">
            <v>6</v>
          </cell>
          <cell r="G43">
            <v>5000</v>
          </cell>
          <cell r="H43">
            <v>30000</v>
          </cell>
        </row>
        <row r="44">
          <cell r="B44" t="str">
            <v>d. Pas. Talang air</v>
          </cell>
          <cell r="E44" t="str">
            <v>m</v>
          </cell>
          <cell r="F44">
            <v>135</v>
          </cell>
          <cell r="G44">
            <v>16000</v>
          </cell>
          <cell r="H44">
            <v>2160000</v>
          </cell>
        </row>
        <row r="45">
          <cell r="B45" t="str">
            <v>e. Perbaikan atap</v>
          </cell>
          <cell r="E45" t="str">
            <v>ls</v>
          </cell>
          <cell r="F45">
            <v>1</v>
          </cell>
          <cell r="G45">
            <v>750000</v>
          </cell>
          <cell r="H45">
            <v>750000</v>
          </cell>
        </row>
        <row r="46">
          <cell r="I46">
            <v>3280000</v>
          </cell>
        </row>
        <row r="47">
          <cell r="A47" t="str">
            <v>V</v>
          </cell>
          <cell r="B47" t="str">
            <v>PEK. KAMAR MANDI</v>
          </cell>
        </row>
        <row r="48">
          <cell r="B48" t="str">
            <v>a. Pembongkaran</v>
          </cell>
          <cell r="E48" t="str">
            <v>ls</v>
          </cell>
          <cell r="F48">
            <v>1</v>
          </cell>
          <cell r="G48">
            <v>725000</v>
          </cell>
          <cell r="H48">
            <v>725000</v>
          </cell>
        </row>
        <row r="49">
          <cell r="B49" t="str">
            <v>b. Pas. Pipa PVC 4 "</v>
          </cell>
          <cell r="E49" t="str">
            <v>m</v>
          </cell>
          <cell r="F49">
            <v>11</v>
          </cell>
          <cell r="G49">
            <v>13000</v>
          </cell>
          <cell r="H49">
            <v>143000</v>
          </cell>
        </row>
        <row r="50">
          <cell r="B50" t="str">
            <v>c. Pas. Keni PVC 4 "</v>
          </cell>
          <cell r="E50" t="str">
            <v>bh</v>
          </cell>
          <cell r="F50">
            <v>6</v>
          </cell>
          <cell r="G50">
            <v>6000</v>
          </cell>
          <cell r="H50">
            <v>36000</v>
          </cell>
        </row>
        <row r="51">
          <cell r="B51" t="str">
            <v>d. Pas. Soket PVC 4 "</v>
          </cell>
          <cell r="E51" t="str">
            <v>bh</v>
          </cell>
          <cell r="F51">
            <v>3</v>
          </cell>
          <cell r="G51">
            <v>6000</v>
          </cell>
          <cell r="H51">
            <v>18000</v>
          </cell>
        </row>
        <row r="52">
          <cell r="B52" t="str">
            <v>e. Pas. Urinoir</v>
          </cell>
          <cell r="E52" t="str">
            <v>bh</v>
          </cell>
          <cell r="F52">
            <v>2</v>
          </cell>
          <cell r="G52">
            <v>10000</v>
          </cell>
          <cell r="H52">
            <v>20000</v>
          </cell>
        </row>
        <row r="53">
          <cell r="B53" t="str">
            <v>f. Pas pipa PVC 2 "</v>
          </cell>
          <cell r="E53" t="str">
            <v>m</v>
          </cell>
          <cell r="F53">
            <v>11</v>
          </cell>
          <cell r="G53">
            <v>11000</v>
          </cell>
          <cell r="H53">
            <v>121000</v>
          </cell>
        </row>
        <row r="54">
          <cell r="B54" t="str">
            <v>g. Pas. Keni PVC 2 "</v>
          </cell>
          <cell r="E54" t="str">
            <v>bh</v>
          </cell>
          <cell r="F54">
            <v>6</v>
          </cell>
          <cell r="G54">
            <v>4000</v>
          </cell>
          <cell r="H54">
            <v>24000</v>
          </cell>
        </row>
        <row r="55">
          <cell r="B55" t="str">
            <v>f Pas. Soket PVC 2 "</v>
          </cell>
          <cell r="E55" t="str">
            <v>bh</v>
          </cell>
          <cell r="F55">
            <v>3</v>
          </cell>
          <cell r="G55">
            <v>4000</v>
          </cell>
          <cell r="H55">
            <v>12000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LS-Rutin"/>
      <sheetName val="Kuantitas"/>
      <sheetName val="Analisa HSP"/>
    </sheetNames>
    <sheetDataSet>
      <sheetData sheetId="0"/>
      <sheetData sheetId="1"/>
      <sheetData sheetId="2">
        <row r="51">
          <cell r="U51">
            <v>37132.42854457155</v>
          </cell>
        </row>
        <row r="231">
          <cell r="U231">
            <v>153551.73484139962</v>
          </cell>
        </row>
        <row r="589">
          <cell r="U589">
            <v>181108.08363519685</v>
          </cell>
        </row>
        <row r="768">
          <cell r="U768">
            <v>820.60957734312888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LS-Rutin"/>
      <sheetName val="Kuantitas"/>
      <sheetName val="Analisa HSP"/>
    </sheetNames>
    <sheetDataSet>
      <sheetData sheetId="0">
        <row r="12">
          <cell r="D12" t="str">
            <v>: 10.1 (1)</v>
          </cell>
        </row>
      </sheetData>
      <sheetData sheetId="1"/>
      <sheetData sheetId="2">
        <row r="410">
          <cell r="U410">
            <v>119737.4661556428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UPEN"/>
      <sheetName val="Rekap"/>
      <sheetName val="Sheet2"/>
      <sheetName val="Schedule (2)"/>
      <sheetName val="RAB"/>
      <sheetName val="Analisa"/>
      <sheetName val="Schedule"/>
      <sheetName val="METODA"/>
      <sheetName val="Mobilisasi"/>
      <sheetName val="H.Sat"/>
      <sheetName val="A. Lantai"/>
    </sheetNames>
    <sheetDataSet>
      <sheetData sheetId="0" refreshError="1"/>
      <sheetData sheetId="1" refreshError="1"/>
      <sheetData sheetId="2" refreshError="1">
        <row r="6">
          <cell r="A6">
            <v>1</v>
          </cell>
          <cell r="B6" t="str">
            <v>satu</v>
          </cell>
        </row>
        <row r="7">
          <cell r="A7">
            <v>2</v>
          </cell>
          <cell r="B7" t="str">
            <v>dua</v>
          </cell>
        </row>
        <row r="8">
          <cell r="A8">
            <v>3</v>
          </cell>
          <cell r="B8" t="str">
            <v>tiga</v>
          </cell>
        </row>
        <row r="9">
          <cell r="A9">
            <v>4</v>
          </cell>
          <cell r="B9" t="str">
            <v>empat</v>
          </cell>
        </row>
        <row r="10">
          <cell r="A10">
            <v>5</v>
          </cell>
          <cell r="B10" t="str">
            <v>lima</v>
          </cell>
        </row>
        <row r="11">
          <cell r="A11">
            <v>6</v>
          </cell>
          <cell r="B11" t="str">
            <v>enam</v>
          </cell>
        </row>
        <row r="12">
          <cell r="A12">
            <v>7</v>
          </cell>
          <cell r="B12" t="str">
            <v>tujuh</v>
          </cell>
        </row>
        <row r="13">
          <cell r="A13">
            <v>8</v>
          </cell>
          <cell r="B13" t="str">
            <v>delapan</v>
          </cell>
        </row>
        <row r="14">
          <cell r="A14">
            <v>9</v>
          </cell>
          <cell r="B14" t="str">
            <v>sembilan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Time Schedule"/>
      <sheetName val="REKAP"/>
      <sheetName val="RAB"/>
      <sheetName val="ANALISA"/>
      <sheetName val="HARGA"/>
    </sheetNames>
    <sheetDataSet>
      <sheetData sheetId="0"/>
      <sheetData sheetId="1"/>
      <sheetData sheetId="2"/>
      <sheetData sheetId="3"/>
      <sheetData sheetId="4">
        <row r="13">
          <cell r="D13">
            <v>35000</v>
          </cell>
        </row>
        <row r="14">
          <cell r="D14">
            <v>60000</v>
          </cell>
        </row>
        <row r="15">
          <cell r="D15">
            <v>55000</v>
          </cell>
        </row>
        <row r="16">
          <cell r="D16">
            <v>65000</v>
          </cell>
        </row>
        <row r="17">
          <cell r="D17">
            <v>65000</v>
          </cell>
        </row>
        <row r="18">
          <cell r="D18">
            <v>55000</v>
          </cell>
        </row>
        <row r="19">
          <cell r="D19">
            <v>70000</v>
          </cell>
        </row>
        <row r="20">
          <cell r="D20">
            <v>60000</v>
          </cell>
        </row>
        <row r="21">
          <cell r="D21">
            <v>70000</v>
          </cell>
        </row>
        <row r="26">
          <cell r="D26">
            <v>40000</v>
          </cell>
        </row>
        <row r="27">
          <cell r="D27">
            <v>65000</v>
          </cell>
        </row>
        <row r="28">
          <cell r="D28">
            <v>80000</v>
          </cell>
        </row>
        <row r="29">
          <cell r="D29">
            <v>250000</v>
          </cell>
        </row>
        <row r="30">
          <cell r="D30">
            <v>65000</v>
          </cell>
        </row>
        <row r="31">
          <cell r="D31">
            <v>85000</v>
          </cell>
        </row>
        <row r="32">
          <cell r="D32">
            <v>600</v>
          </cell>
        </row>
        <row r="34">
          <cell r="D34">
            <v>32000</v>
          </cell>
        </row>
        <row r="35">
          <cell r="D35">
            <v>2500</v>
          </cell>
        </row>
        <row r="36">
          <cell r="D36">
            <v>135000</v>
          </cell>
        </row>
        <row r="37">
          <cell r="D37">
            <v>7000</v>
          </cell>
        </row>
        <row r="39">
          <cell r="D39">
            <v>45000</v>
          </cell>
        </row>
        <row r="40">
          <cell r="D40">
            <v>7500000</v>
          </cell>
        </row>
        <row r="41">
          <cell r="D41">
            <v>3500000</v>
          </cell>
        </row>
        <row r="42">
          <cell r="D42">
            <v>8750</v>
          </cell>
        </row>
        <row r="43">
          <cell r="D43">
            <v>8000</v>
          </cell>
        </row>
        <row r="44">
          <cell r="D44">
            <v>11000</v>
          </cell>
        </row>
        <row r="45">
          <cell r="D45">
            <v>435000</v>
          </cell>
        </row>
        <row r="48">
          <cell r="D48">
            <v>15000</v>
          </cell>
        </row>
        <row r="49">
          <cell r="D49">
            <v>12500</v>
          </cell>
        </row>
        <row r="51">
          <cell r="D51">
            <v>500</v>
          </cell>
        </row>
        <row r="52">
          <cell r="D52">
            <v>12000</v>
          </cell>
        </row>
        <row r="54">
          <cell r="D54">
            <v>30000</v>
          </cell>
        </row>
        <row r="55">
          <cell r="D55">
            <v>60000</v>
          </cell>
        </row>
        <row r="56">
          <cell r="D56">
            <v>55000</v>
          </cell>
        </row>
        <row r="58">
          <cell r="D58">
            <v>80000</v>
          </cell>
        </row>
        <row r="59">
          <cell r="D59">
            <v>1850000</v>
          </cell>
        </row>
        <row r="60">
          <cell r="D60">
            <v>3000000</v>
          </cell>
        </row>
        <row r="61">
          <cell r="D61">
            <v>2550000</v>
          </cell>
        </row>
        <row r="64">
          <cell r="D64">
            <v>75000</v>
          </cell>
        </row>
        <row r="65">
          <cell r="D65">
            <v>185000</v>
          </cell>
        </row>
        <row r="66">
          <cell r="D66">
            <v>18500</v>
          </cell>
        </row>
        <row r="67">
          <cell r="D67">
            <v>35000</v>
          </cell>
        </row>
        <row r="68">
          <cell r="D68">
            <v>15000</v>
          </cell>
        </row>
        <row r="69">
          <cell r="D69">
            <v>12500</v>
          </cell>
        </row>
        <row r="70">
          <cell r="D70">
            <v>25000</v>
          </cell>
        </row>
        <row r="71">
          <cell r="D71">
            <v>20000</v>
          </cell>
        </row>
        <row r="72">
          <cell r="D72">
            <v>125000</v>
          </cell>
        </row>
        <row r="73">
          <cell r="D73">
            <v>50000</v>
          </cell>
        </row>
        <row r="74">
          <cell r="D74">
            <v>75000</v>
          </cell>
        </row>
        <row r="79">
          <cell r="D79">
            <v>400000</v>
          </cell>
        </row>
        <row r="80">
          <cell r="D80">
            <v>185000</v>
          </cell>
        </row>
        <row r="81">
          <cell r="D81">
            <v>85000</v>
          </cell>
        </row>
        <row r="87">
          <cell r="D87">
            <v>40000</v>
          </cell>
        </row>
        <row r="88">
          <cell r="D88">
            <v>85000</v>
          </cell>
        </row>
        <row r="89">
          <cell r="D89">
            <v>45000</v>
          </cell>
        </row>
        <row r="90">
          <cell r="D90">
            <v>45000</v>
          </cell>
        </row>
        <row r="91">
          <cell r="D91">
            <v>25000</v>
          </cell>
        </row>
        <row r="92">
          <cell r="D92">
            <v>30000</v>
          </cell>
        </row>
        <row r="93">
          <cell r="D93">
            <v>20000</v>
          </cell>
        </row>
        <row r="95">
          <cell r="D95">
            <v>15000</v>
          </cell>
        </row>
        <row r="96">
          <cell r="D96">
            <v>150000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BAH"/>
      <sheetName val="BAH (2)"/>
      <sheetName val="BAH (4)"/>
      <sheetName val="BAH (3)"/>
    </sheetNames>
    <sheetDataSet>
      <sheetData sheetId="0"/>
      <sheetData sheetId="1"/>
      <sheetData sheetId="2"/>
      <sheetData sheetId="3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L.1"/>
      <sheetName val="L.8"/>
      <sheetName val="L.9"/>
      <sheetName val="L.10"/>
      <sheetName val="L.11"/>
      <sheetName val="L.12"/>
      <sheetName val="L.13"/>
      <sheetName val="L.14"/>
      <sheetName val="L.15"/>
      <sheetName val="L.16"/>
      <sheetName val="L.17"/>
      <sheetName val="L.18"/>
      <sheetName val="L.24SUB"/>
      <sheetName val="L.21"/>
      <sheetName val="pq.pers"/>
      <sheetName val="pq.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Du_lieu"/>
    </sheetNames>
    <sheetDataSet>
      <sheetData sheetId="0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gvl"/>
    </sheetNames>
    <sheetDataSet>
      <sheetData sheetId="0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daf harga"/>
      <sheetName val="RAB"/>
      <sheetName val="AHSP"/>
      <sheetName val=" Biaya alat jam"/>
      <sheetName val="Mobilisasi"/>
      <sheetName val="Analisa Produksi alat"/>
      <sheetName val="Analisa-Grouting"/>
      <sheetName val="SteelSupport"/>
      <sheetName val="GalianTerowongan"/>
      <sheetName val="WaterPressTest(3langkah)"/>
      <sheetName val="WaterPressTest(9langkah)"/>
      <sheetName val="BackfillGrouting"/>
      <sheetName val="Analisa Bangunan"/>
      <sheetName val="Schedulle"/>
      <sheetName val="Ana-Fas"/>
      <sheetName val="Back-analis"/>
      <sheetName val="(EQU_PRO1)"/>
    </sheetNames>
    <sheetDataSet>
      <sheetData sheetId="0" refreshError="1"/>
      <sheetData sheetId="1" refreshError="1"/>
      <sheetData sheetId="2" refreshError="1"/>
      <sheetData sheetId="3" refreshError="1">
        <row r="22">
          <cell r="P22">
            <v>0.9</v>
          </cell>
        </row>
        <row r="152">
          <cell r="V152">
            <v>1600</v>
          </cell>
        </row>
        <row r="153">
          <cell r="V153">
            <v>16500</v>
          </cell>
        </row>
        <row r="154">
          <cell r="V154">
            <v>16500</v>
          </cell>
        </row>
        <row r="179">
          <cell r="V179">
            <v>16500</v>
          </cell>
        </row>
        <row r="180">
          <cell r="V180">
            <v>19250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ekerjaan Utama"/>
      <sheetName val="%"/>
      <sheetName val="Rekap Biaya"/>
      <sheetName val="Kuantitas &amp; Harga"/>
      <sheetName val="PAS. BATU (div 3) ok"/>
      <sheetName val="gln struk. (DIV III) OKE"/>
      <sheetName val="Beton K250 (BOX COLVERT) ok"/>
      <sheetName val="Beton K250 type 2 ok"/>
      <sheetName val="TIMBUNAN DIV 3 OKE"/>
      <sheetName val="BESI BOX CULVERT TYPE 2"/>
      <sheetName val="L.POND SIRTU (DIV 5)"/>
      <sheetName val="KORAL SIKAT"/>
      <sheetName val="PASANGAN KERAMIK"/>
      <sheetName val="PAS. BETON TROTOAR"/>
      <sheetName val="BAK KONTROL"/>
      <sheetName val="PAS GRIL"/>
      <sheetName val="V PAS. BATU (DIV 7) OKE"/>
      <sheetName val="Tulangan D12"/>
      <sheetName val="Tulangan D10"/>
      <sheetName val="Beton K250 Untuk Diatas Trotoar"/>
      <sheetName val="BESI BOX CULVERT TYPE 1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DAFTAR  KUANTITAS DAN HARGA</v>
          </cell>
        </row>
        <row r="4">
          <cell r="A4" t="str">
            <v xml:space="preserve"> Kegiatan</v>
          </cell>
          <cell r="C4" t="str">
            <v xml:space="preserve">  : Pembangunan Jalan tahun anggaran 2011</v>
          </cell>
        </row>
        <row r="5">
          <cell r="A5" t="str">
            <v xml:space="preserve"> Pekerjaan</v>
          </cell>
          <cell r="C5" t="str">
            <v xml:space="preserve">  : Perencanaan Teknis Peningkatan Jalan Kabupaten Peningkatan Jln Dalam Kota L. Sikaping</v>
          </cell>
        </row>
        <row r="6">
          <cell r="A6" t="str">
            <v xml:space="preserve"> Lokasi</v>
          </cell>
          <cell r="C6" t="str">
            <v xml:space="preserve">  : Lubuk Sikaping</v>
          </cell>
        </row>
        <row r="7">
          <cell r="A7" t="str">
            <v xml:space="preserve"> Target</v>
          </cell>
          <cell r="C7" t="str">
            <v xml:space="preserve">  : 1 + 3300 M</v>
          </cell>
        </row>
        <row r="8">
          <cell r="A8" t="str">
            <v xml:space="preserve"> Kabupaten</v>
          </cell>
          <cell r="C8" t="str">
            <v xml:space="preserve">  : Pasaman</v>
          </cell>
        </row>
        <row r="10">
          <cell r="D10" t="str">
            <v xml:space="preserve">  </v>
          </cell>
          <cell r="E10" t="str">
            <v xml:space="preserve"> </v>
          </cell>
        </row>
        <row r="11">
          <cell r="A11" t="str">
            <v>No. Mata</v>
          </cell>
          <cell r="B11" t="str">
            <v>Uraian</v>
          </cell>
          <cell r="D11" t="str">
            <v>Satuan</v>
          </cell>
          <cell r="E11" t="str">
            <v>Perkiraan</v>
          </cell>
          <cell r="F11" t="str">
            <v>Harga</v>
          </cell>
          <cell r="G11" t="str">
            <v>Jumlah</v>
          </cell>
        </row>
        <row r="12">
          <cell r="A12" t="str">
            <v>Pembayaran</v>
          </cell>
          <cell r="E12" t="str">
            <v>Kuantitas</v>
          </cell>
          <cell r="F12" t="str">
            <v>Satuan</v>
          </cell>
          <cell r="G12" t="str">
            <v>Harga-Harga</v>
          </cell>
        </row>
        <row r="13">
          <cell r="F13" t="str">
            <v>(Rupiah)</v>
          </cell>
          <cell r="G13" t="str">
            <v>(Rupiah)</v>
          </cell>
        </row>
        <row r="14">
          <cell r="A14" t="str">
            <v>a</v>
          </cell>
          <cell r="C14" t="str">
            <v>b</v>
          </cell>
          <cell r="D14" t="str">
            <v>c</v>
          </cell>
          <cell r="E14" t="str">
            <v>d</v>
          </cell>
          <cell r="F14" t="str">
            <v>e</v>
          </cell>
          <cell r="G14" t="str">
            <v>f = (d x e)</v>
          </cell>
        </row>
        <row r="16">
          <cell r="C16" t="str">
            <v>DIVISI 1. UMUM</v>
          </cell>
        </row>
        <row r="18">
          <cell r="A18" t="str">
            <v>1.2</v>
          </cell>
          <cell r="C18" t="str">
            <v>Mobilisasi</v>
          </cell>
          <cell r="D18" t="str">
            <v>LS</v>
          </cell>
          <cell r="E18">
            <v>1</v>
          </cell>
          <cell r="F18">
            <v>51162000</v>
          </cell>
          <cell r="G18">
            <v>51162000</v>
          </cell>
        </row>
        <row r="20">
          <cell r="C20" t="str">
            <v>Jumlah Harga Pekerjaan DIVISI 1  (masuk pada Rekapitulasi Perkiraan Harga Pekerjaan)</v>
          </cell>
          <cell r="G20">
            <v>51162000</v>
          </cell>
        </row>
        <row r="23">
          <cell r="C23" t="str">
            <v>DIVISI 2. DRAINASE</v>
          </cell>
        </row>
        <row r="25">
          <cell r="A25" t="str">
            <v>2.2</v>
          </cell>
          <cell r="C25" t="str">
            <v>Pasangan Batu dengan Mortar</v>
          </cell>
          <cell r="D25" t="str">
            <v>M3</v>
          </cell>
          <cell r="E25">
            <v>4258.1163999999999</v>
          </cell>
          <cell r="F25">
            <v>586783.46</v>
          </cell>
          <cell r="G25">
            <v>2498592274.2747436</v>
          </cell>
        </row>
        <row r="27">
          <cell r="B27" t="str">
            <v>Jumlah Harga Pekerjaan DIVISI 2  (masuk pada Rekapitulasi Perkiraan Harga Pekerjaan)</v>
          </cell>
          <cell r="G27">
            <v>2498592274.2747436</v>
          </cell>
        </row>
        <row r="30">
          <cell r="C30" t="str">
            <v>DIVISI  3.  PEKERJAAN  TANAH</v>
          </cell>
        </row>
        <row r="32">
          <cell r="A32" t="str">
            <v>3.1 (3)</v>
          </cell>
          <cell r="C32" t="str">
            <v>Galian Struktur dengan Kedalaman 0 - 2 meter</v>
          </cell>
          <cell r="D32" t="str">
            <v>M3</v>
          </cell>
          <cell r="E32">
            <v>8558.7530999999999</v>
          </cell>
          <cell r="F32">
            <v>31459.23</v>
          </cell>
          <cell r="G32">
            <v>269251782.28611296</v>
          </cell>
        </row>
        <row r="33">
          <cell r="A33" t="str">
            <v>3.2 (1)</v>
          </cell>
          <cell r="C33" t="str">
            <v xml:space="preserve">Timbunan Biasa </v>
          </cell>
          <cell r="D33" t="str">
            <v>M3</v>
          </cell>
          <cell r="E33">
            <v>8346.1962000000003</v>
          </cell>
          <cell r="F33">
            <v>93792.39</v>
          </cell>
          <cell r="G33">
            <v>782809689.00691807</v>
          </cell>
        </row>
        <row r="34">
          <cell r="A34" t="str">
            <v>3.4 (6)</v>
          </cell>
          <cell r="C34" t="str">
            <v>Gebalan Rumput Untuk Taman</v>
          </cell>
          <cell r="D34" t="str">
            <v>M2</v>
          </cell>
          <cell r="E34">
            <v>0</v>
          </cell>
          <cell r="F34">
            <v>10354.14</v>
          </cell>
          <cell r="G34">
            <v>0</v>
          </cell>
        </row>
        <row r="35">
          <cell r="C35" t="str">
            <v>Penanaman Pohon</v>
          </cell>
          <cell r="D35" t="str">
            <v>Buah</v>
          </cell>
          <cell r="E35">
            <v>0</v>
          </cell>
          <cell r="F35">
            <v>100000</v>
          </cell>
          <cell r="G35">
            <v>0</v>
          </cell>
        </row>
        <row r="36">
          <cell r="C36" t="str">
            <v>Timbunan Tanah Humus</v>
          </cell>
          <cell r="D36" t="str">
            <v>M3</v>
          </cell>
          <cell r="E36">
            <v>0</v>
          </cell>
          <cell r="F36">
            <v>20000</v>
          </cell>
          <cell r="G36">
            <v>0</v>
          </cell>
        </row>
        <row r="38">
          <cell r="B38" t="str">
            <v>Jumlah Harga Pekerjaan DIVISI 3  (masuk pada Rekapitulasi Perkiraan Harga Pekerjaan)</v>
          </cell>
          <cell r="G38">
            <v>1052061471.293031</v>
          </cell>
        </row>
        <row r="41">
          <cell r="C41" t="str">
            <v>DIVISI  4.  PELEBARAN PERKERASAN DAN BAHU JALAN</v>
          </cell>
        </row>
        <row r="43">
          <cell r="A43" t="str">
            <v>4.2 (1)</v>
          </cell>
          <cell r="C43" t="str">
            <v>Lapis Pondasi Agregat Kelas A</v>
          </cell>
          <cell r="D43" t="str">
            <v>M3</v>
          </cell>
          <cell r="E43">
            <v>0</v>
          </cell>
          <cell r="F43">
            <v>270483.89</v>
          </cell>
          <cell r="G43">
            <v>0</v>
          </cell>
        </row>
        <row r="44">
          <cell r="A44" t="str">
            <v>4.2 (2)</v>
          </cell>
          <cell r="C44" t="str">
            <v>Lapis Pondasi Agregat Kelas B</v>
          </cell>
          <cell r="D44" t="str">
            <v>M3</v>
          </cell>
          <cell r="E44">
            <v>0</v>
          </cell>
          <cell r="F44">
            <v>216100.42</v>
          </cell>
          <cell r="G44">
            <v>0</v>
          </cell>
        </row>
        <row r="45">
          <cell r="C45" t="str">
            <v>Koral Sikat</v>
          </cell>
          <cell r="D45" t="str">
            <v>M2</v>
          </cell>
          <cell r="E45">
            <v>6892.1550000000007</v>
          </cell>
          <cell r="F45">
            <v>126000</v>
          </cell>
          <cell r="G45">
            <v>868411530.00000012</v>
          </cell>
        </row>
        <row r="46">
          <cell r="C46" t="str">
            <v>Pas. Keramik 30 x 30</v>
          </cell>
          <cell r="D46" t="str">
            <v>M2</v>
          </cell>
          <cell r="E46">
            <v>1240.5879000000002</v>
          </cell>
          <cell r="F46">
            <v>149000</v>
          </cell>
          <cell r="G46">
            <v>184847597.10000002</v>
          </cell>
        </row>
        <row r="47">
          <cell r="C47" t="str">
            <v>Pas. Beton Trotoar K-125 T= 5 CM</v>
          </cell>
          <cell r="D47" t="str">
            <v>M3</v>
          </cell>
          <cell r="E47">
            <v>163.25901400000009</v>
          </cell>
          <cell r="F47">
            <v>651670.52413560147</v>
          </cell>
          <cell r="G47">
            <v>106391087.22324155</v>
          </cell>
        </row>
        <row r="48">
          <cell r="C48" t="str">
            <v>Bak kontrol</v>
          </cell>
          <cell r="D48" t="str">
            <v>Unit</v>
          </cell>
          <cell r="E48">
            <v>306.31800000000004</v>
          </cell>
          <cell r="F48">
            <v>231000</v>
          </cell>
          <cell r="G48">
            <v>70759458.000000015</v>
          </cell>
        </row>
        <row r="49">
          <cell r="C49" t="str">
            <v>Pas. Gril Untuk saluran Air Hujan</v>
          </cell>
          <cell r="D49" t="str">
            <v>Unit</v>
          </cell>
          <cell r="E49">
            <v>208.93973333333332</v>
          </cell>
          <cell r="F49">
            <v>244000</v>
          </cell>
          <cell r="G49">
            <v>50981294.93333333</v>
          </cell>
        </row>
        <row r="51">
          <cell r="B51" t="str">
            <v>Jumlah Harga Pekerjaan DIVISI 4  (masuk pada Rekapitulasi Perkiraan Harga Pekerjaan)</v>
          </cell>
          <cell r="G51">
            <v>1281390967.2565751</v>
          </cell>
        </row>
        <row r="54">
          <cell r="C54" t="str">
            <v>DIVISI  5.  PERKERASAN  BERBUTIR</v>
          </cell>
        </row>
        <row r="56">
          <cell r="A56" t="str">
            <v>5.2 (2)</v>
          </cell>
          <cell r="C56" t="str">
            <v>Timbunan Sirtu</v>
          </cell>
          <cell r="D56" t="str">
            <v>M3</v>
          </cell>
          <cell r="E56">
            <v>8816.8499999999985</v>
          </cell>
          <cell r="F56">
            <v>104626.73157198385</v>
          </cell>
          <cell r="G56">
            <v>922478198.26044571</v>
          </cell>
        </row>
        <row r="58">
          <cell r="B58" t="str">
            <v>Jumlah Harga Pekerjaan DIVISI 5  (masuk pada Rekapitulasi Perkiraan Harga Pekerjaan)</v>
          </cell>
          <cell r="G58">
            <v>922478198.26044571</v>
          </cell>
        </row>
        <row r="61">
          <cell r="C61" t="str">
            <v>DIVISI  6.  PERKERASAN  ASPAL</v>
          </cell>
        </row>
        <row r="63">
          <cell r="A63" t="str">
            <v>6.1 (2)</v>
          </cell>
          <cell r="C63" t="str">
            <v>Lapis Perekat (Tech Coat)</v>
          </cell>
          <cell r="D63" t="str">
            <v>Liter</v>
          </cell>
          <cell r="E63">
            <v>0</v>
          </cell>
          <cell r="F63">
            <v>18154.07</v>
          </cell>
          <cell r="G63">
            <v>0</v>
          </cell>
        </row>
        <row r="64">
          <cell r="A64" t="str">
            <v>6.3 (5)</v>
          </cell>
          <cell r="C64" t="str">
            <v>Lapis Aus Aspal Beton (AC-WC) t = 4 cm</v>
          </cell>
          <cell r="D64" t="str">
            <v>M2</v>
          </cell>
          <cell r="E64">
            <v>0</v>
          </cell>
          <cell r="F64">
            <v>137588.51</v>
          </cell>
          <cell r="G64">
            <v>0</v>
          </cell>
        </row>
        <row r="65">
          <cell r="A65" t="str">
            <v>6.3 (6)</v>
          </cell>
          <cell r="C65" t="str">
            <v>Lapis Pengikat Aspal Beton (AC-BC) t = 5 cm</v>
          </cell>
          <cell r="D65" t="str">
            <v>M3</v>
          </cell>
          <cell r="E65">
            <v>0</v>
          </cell>
          <cell r="F65">
            <v>2788543.12</v>
          </cell>
          <cell r="G65">
            <v>0</v>
          </cell>
        </row>
        <row r="67">
          <cell r="B67" t="str">
            <v>Jumlah Harga Pekerjaan DIVISI 6  (masuk pada Rekapitulasi Perkiraan Harga Pekerjaan)</v>
          </cell>
          <cell r="G67">
            <v>0</v>
          </cell>
        </row>
        <row r="70">
          <cell r="C70" t="str">
            <v>DIVISI  7.  STRUKTUR</v>
          </cell>
        </row>
        <row r="72">
          <cell r="C72" t="str">
            <v>Beton K250 Untuk Kreeb</v>
          </cell>
          <cell r="D72" t="str">
            <v>M3</v>
          </cell>
          <cell r="E72">
            <v>0</v>
          </cell>
          <cell r="F72">
            <v>971681.91</v>
          </cell>
          <cell r="G72">
            <v>0</v>
          </cell>
        </row>
        <row r="73">
          <cell r="C73" t="str">
            <v>Beton K250 untuk Trotoar</v>
          </cell>
          <cell r="D73" t="str">
            <v>M3</v>
          </cell>
          <cell r="E73">
            <v>397.28217399999988</v>
          </cell>
          <cell r="F73">
            <v>971681.91</v>
          </cell>
          <cell r="G73">
            <v>386031901.64127225</v>
          </cell>
        </row>
        <row r="74">
          <cell r="C74" t="str">
            <v>Beton K250 Untuk Box Culvert Type 1</v>
          </cell>
          <cell r="D74" t="str">
            <v>M3</v>
          </cell>
          <cell r="E74">
            <v>1336.5576000000001</v>
          </cell>
          <cell r="F74">
            <v>971681.91</v>
          </cell>
          <cell r="G74">
            <v>1298708841.5930161</v>
          </cell>
        </row>
        <row r="75">
          <cell r="C75" t="str">
            <v>Beton K250 Untuk Box Culvert Type 2</v>
          </cell>
          <cell r="D75" t="str">
            <v>M3</v>
          </cell>
          <cell r="E75">
            <v>2516.5880000000002</v>
          </cell>
          <cell r="F75">
            <v>971681.91</v>
          </cell>
          <cell r="G75">
            <v>2445323034.5230803</v>
          </cell>
        </row>
        <row r="76">
          <cell r="C76" t="str">
            <v>Besi Pokok Ø16 Type 1</v>
          </cell>
          <cell r="D76" t="str">
            <v>Kg</v>
          </cell>
          <cell r="E76">
            <v>110139.33679999999</v>
          </cell>
          <cell r="F76">
            <v>13680.90625</v>
          </cell>
          <cell r="G76">
            <v>1506805941.1979749</v>
          </cell>
        </row>
        <row r="77">
          <cell r="C77" t="str">
            <v>Besi Pembagi Ø12 Type 1</v>
          </cell>
          <cell r="D77" t="str">
            <v>Kg</v>
          </cell>
          <cell r="E77">
            <v>104754.38680000001</v>
          </cell>
          <cell r="F77">
            <v>11317.625</v>
          </cell>
          <cell r="G77">
            <v>1185570866.9073501</v>
          </cell>
        </row>
        <row r="78">
          <cell r="C78" t="str">
            <v>Besi Pokok Ø16 Type 2</v>
          </cell>
          <cell r="D78" t="str">
            <v>Kg</v>
          </cell>
          <cell r="E78">
            <v>200521.17000000007</v>
          </cell>
          <cell r="F78">
            <v>13680.90625</v>
          </cell>
          <cell r="G78">
            <v>2743311327.9103136</v>
          </cell>
        </row>
        <row r="79">
          <cell r="C79" t="str">
            <v>Besi Pembagi Ø12 Type 2</v>
          </cell>
          <cell r="D79" t="str">
            <v>Kg</v>
          </cell>
          <cell r="E79">
            <v>73892.54250000001</v>
          </cell>
          <cell r="F79">
            <v>11317.625</v>
          </cell>
          <cell r="G79">
            <v>836288086.31156266</v>
          </cell>
        </row>
        <row r="80">
          <cell r="A80" t="str">
            <v>7.1 (6)</v>
          </cell>
          <cell r="C80" t="str">
            <v>Beton K175 (Diatas Trotoar-dibawah Koral Sikat) T=5 Cm</v>
          </cell>
          <cell r="D80" t="str">
            <v>M3</v>
          </cell>
          <cell r="E80">
            <v>384.69239999999996</v>
          </cell>
          <cell r="F80">
            <v>779076.79</v>
          </cell>
          <cell r="G80">
            <v>299704920.12939596</v>
          </cell>
        </row>
        <row r="81">
          <cell r="C81" t="str">
            <v>Baja Tulangan D12 untuk pembesian trotoar</v>
          </cell>
          <cell r="D81" t="str">
            <v>Kg</v>
          </cell>
          <cell r="E81">
            <v>65631.088056000008</v>
          </cell>
          <cell r="F81">
            <v>11317.625</v>
          </cell>
          <cell r="G81">
            <v>742788042.95978713</v>
          </cell>
        </row>
        <row r="82">
          <cell r="A82" t="str">
            <v>7.3 (6)</v>
          </cell>
          <cell r="C82" t="str">
            <v>Baja Tulangan D10</v>
          </cell>
          <cell r="D82" t="str">
            <v>Kg</v>
          </cell>
          <cell r="E82">
            <v>47411.414837999997</v>
          </cell>
          <cell r="F82">
            <v>9427</v>
          </cell>
          <cell r="G82">
            <v>446947407.67782599</v>
          </cell>
        </row>
        <row r="83">
          <cell r="A83" t="str">
            <v>7.9</v>
          </cell>
          <cell r="C83" t="str">
            <v>Pasangan Batu</v>
          </cell>
          <cell r="D83" t="str">
            <v>M3</v>
          </cell>
          <cell r="E83">
            <v>1292.5</v>
          </cell>
          <cell r="F83">
            <v>567376.63413173647</v>
          </cell>
          <cell r="G83">
            <v>733334299.61526942</v>
          </cell>
        </row>
        <row r="85">
          <cell r="B85" t="str">
            <v>Jumlah Harga Pekerjaan DIVISI 7  (masuk pada Rekapitulasi Perkiraan Harga Pekerjaan)</v>
          </cell>
          <cell r="G85">
            <v>12624814670.466848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3-DIV3"/>
    </sheetNames>
    <sheetDataSet>
      <sheetData sheetId="0">
        <row r="1">
          <cell r="A1" t="str">
            <v>ITEM PEMBAYARAN NO.</v>
          </cell>
          <cell r="D1" t="str">
            <v>:  3.1 (1)</v>
          </cell>
          <cell r="J1" t="str">
            <v>Analisa EI-311</v>
          </cell>
          <cell r="T1" t="str">
            <v>Analisa EI-311</v>
          </cell>
        </row>
        <row r="2">
          <cell r="A2" t="str">
            <v>JENIS PEKERJAAN</v>
          </cell>
          <cell r="D2" t="str">
            <v>:  Galian Biasa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 xml:space="preserve">                                                                                                            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Jalan   :  sedang / baik</v>
          </cell>
          <cell r="L12" t="str">
            <v>ITEM PEMBAYARAN NO.</v>
          </cell>
          <cell r="O12" t="str">
            <v>:  3.1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Jam kerja efektif per-hari</v>
          </cell>
          <cell r="G13" t="str">
            <v>Tk</v>
          </cell>
          <cell r="H13">
            <v>7</v>
          </cell>
          <cell r="I13" t="str">
            <v>Jam</v>
          </cell>
          <cell r="L13" t="str">
            <v>JENIS PEKERJAAN</v>
          </cell>
          <cell r="O13" t="str">
            <v>:  Galian Biasa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Faktor pengembangan bahan</v>
          </cell>
          <cell r="G14" t="str">
            <v>Fk</v>
          </cell>
          <cell r="H14">
            <v>1.2</v>
          </cell>
          <cell r="I14" t="str">
            <v>-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7">
          <cell r="A17" t="str">
            <v>II.</v>
          </cell>
          <cell r="C17" t="str">
            <v>URUTAN KERJA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1</v>
          </cell>
          <cell r="C18" t="str">
            <v>Tanah yang dipotong umumnya berada disisi jalan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>
            <v>2</v>
          </cell>
          <cell r="C19" t="str">
            <v>Penggalian dilakukan dengan menggunakan Excavator</v>
          </cell>
          <cell r="R19" t="str">
            <v>(Rp.)</v>
          </cell>
          <cell r="S19" t="str">
            <v>(Rp.)</v>
          </cell>
        </row>
        <row r="20">
          <cell r="A20">
            <v>3</v>
          </cell>
          <cell r="C20" t="str">
            <v>Selanjutnya Excavator menuangkan material hasil</v>
          </cell>
        </row>
        <row r="21">
          <cell r="C21" t="str">
            <v>galian kedalam Dump Truck</v>
          </cell>
        </row>
        <row r="22">
          <cell r="A22">
            <v>4</v>
          </cell>
          <cell r="C22" t="str">
            <v>Dump Truck membuang material hasil galian keluar</v>
          </cell>
          <cell r="L22" t="str">
            <v>A.</v>
          </cell>
          <cell r="N22" t="str">
            <v>TENAGA</v>
          </cell>
        </row>
        <row r="23">
          <cell r="C23" t="str">
            <v>lokasi jalan sejauh</v>
          </cell>
          <cell r="G23" t="str">
            <v>L</v>
          </cell>
          <cell r="H23">
            <v>5</v>
          </cell>
          <cell r="I23" t="str">
            <v>Km</v>
          </cell>
        </row>
        <row r="24"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1.6426998315844023E-2</v>
          </cell>
          <cell r="R24">
            <v>2857.14</v>
          </cell>
          <cell r="U24">
            <v>46.934233968130592</v>
          </cell>
        </row>
        <row r="25"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8.2134991579220114E-3</v>
          </cell>
          <cell r="R25">
            <v>3214.29</v>
          </cell>
          <cell r="U25">
            <v>26.400568208317143</v>
          </cell>
        </row>
        <row r="26">
          <cell r="A26" t="str">
            <v>III.</v>
          </cell>
          <cell r="C26" t="str">
            <v>PEMAKAIAN BAHAN, ALAT DAN TENAGA</v>
          </cell>
        </row>
        <row r="28">
          <cell r="A28" t="str">
            <v xml:space="preserve">   1.</v>
          </cell>
          <cell r="C28" t="str">
            <v>BAHAN</v>
          </cell>
          <cell r="Q28" t="str">
            <v xml:space="preserve">JUMLAH HARGA TENAGA   </v>
          </cell>
          <cell r="U28">
            <v>73.334802176447738</v>
          </cell>
        </row>
        <row r="29">
          <cell r="C29" t="str">
            <v>Tidak ada bahan yang diperlukan</v>
          </cell>
        </row>
        <row r="30">
          <cell r="L30" t="str">
            <v>B.</v>
          </cell>
          <cell r="N30" t="str">
            <v>BAHAN</v>
          </cell>
        </row>
        <row r="32">
          <cell r="A32" t="str">
            <v xml:space="preserve">   2.</v>
          </cell>
          <cell r="C32" t="str">
            <v>ALAT</v>
          </cell>
        </row>
        <row r="33">
          <cell r="A33" t="str">
            <v xml:space="preserve">   2.a.</v>
          </cell>
          <cell r="C33" t="str">
            <v>EXCAVATOR</v>
          </cell>
          <cell r="G33" t="str">
            <v>(E10)</v>
          </cell>
        </row>
        <row r="34">
          <cell r="C34" t="str">
            <v>Kapasitas Bucket</v>
          </cell>
          <cell r="G34" t="str">
            <v>V</v>
          </cell>
          <cell r="H34">
            <v>0.93</v>
          </cell>
          <cell r="I34" t="str">
            <v>M3</v>
          </cell>
        </row>
        <row r="35">
          <cell r="C35" t="str">
            <v>Faktor Bucket</v>
          </cell>
          <cell r="G35" t="str">
            <v>Fb</v>
          </cell>
          <cell r="H35">
            <v>1</v>
          </cell>
          <cell r="I35" t="str">
            <v>-</v>
          </cell>
        </row>
        <row r="36">
          <cell r="C36" t="str">
            <v>Faktor  Efisiensi alat</v>
          </cell>
          <cell r="G36" t="str">
            <v>Fa</v>
          </cell>
          <cell r="H36">
            <v>0.83</v>
          </cell>
          <cell r="I36" t="str">
            <v>-</v>
          </cell>
        </row>
        <row r="38">
          <cell r="C38" t="str">
            <v>Waktu siklus</v>
          </cell>
          <cell r="G38" t="str">
            <v>Ts1</v>
          </cell>
          <cell r="I38" t="str">
            <v>menit</v>
          </cell>
          <cell r="Q38" t="str">
            <v xml:space="preserve">JUMLAH HARGA BAHAN   </v>
          </cell>
          <cell r="U38">
            <v>0</v>
          </cell>
        </row>
        <row r="39">
          <cell r="C39" t="str">
            <v>- Menggali / memuat</v>
          </cell>
          <cell r="G39" t="str">
            <v>T1</v>
          </cell>
          <cell r="H39">
            <v>0.317</v>
          </cell>
          <cell r="I39" t="str">
            <v>menit</v>
          </cell>
        </row>
        <row r="40">
          <cell r="C40" t="str">
            <v>- Lain-lain</v>
          </cell>
          <cell r="G40" t="str">
            <v>T2</v>
          </cell>
          <cell r="I40" t="str">
            <v>menit</v>
          </cell>
        </row>
        <row r="41">
          <cell r="G41" t="str">
            <v>Ts1</v>
          </cell>
          <cell r="H41">
            <v>0.317</v>
          </cell>
          <cell r="I41" t="str">
            <v>menit</v>
          </cell>
          <cell r="L41" t="str">
            <v>C.</v>
          </cell>
          <cell r="N41" t="str">
            <v>PERALATAN</v>
          </cell>
        </row>
        <row r="43">
          <cell r="C43" t="str">
            <v>Kap. Prod. / jam =</v>
          </cell>
          <cell r="D43" t="str">
            <v>V  x Fb x Fa x 60</v>
          </cell>
          <cell r="G43" t="str">
            <v>Q1</v>
          </cell>
          <cell r="H43">
            <v>121.75078864353311</v>
          </cell>
          <cell r="I43" t="str">
            <v>M3/Jam</v>
          </cell>
          <cell r="L43" t="str">
            <v>1.</v>
          </cell>
          <cell r="N43" t="str">
            <v>Excavator</v>
          </cell>
          <cell r="O43" t="str">
            <v>(E10)</v>
          </cell>
          <cell r="P43" t="str">
            <v>Jam</v>
          </cell>
          <cell r="Q43">
            <v>8.2134991579220114E-3</v>
          </cell>
          <cell r="R43">
            <v>238185.05650827778</v>
          </cell>
          <cell r="U43">
            <v>1956.3327610603462</v>
          </cell>
        </row>
        <row r="44">
          <cell r="D44" t="str">
            <v>Ts1 x Fh</v>
          </cell>
          <cell r="L44" t="str">
            <v>2.</v>
          </cell>
          <cell r="N44" t="str">
            <v>Dump Truck</v>
          </cell>
          <cell r="O44" t="str">
            <v>(E08)</v>
          </cell>
          <cell r="P44" t="str">
            <v>Jam</v>
          </cell>
          <cell r="Q44">
            <v>5.7658071071694475E-2</v>
          </cell>
          <cell r="R44">
            <v>153645.58193291764</v>
          </cell>
          <cell r="U44">
            <v>8858.9078829400223</v>
          </cell>
        </row>
        <row r="45">
          <cell r="L45" t="str">
            <v>3.</v>
          </cell>
          <cell r="N45" t="str">
            <v>Alat Bantu</v>
          </cell>
          <cell r="P45" t="str">
            <v>Ls</v>
          </cell>
          <cell r="Q45">
            <v>1</v>
          </cell>
          <cell r="R45">
            <v>75</v>
          </cell>
          <cell r="U45">
            <v>75</v>
          </cell>
        </row>
        <row r="46">
          <cell r="C46" t="str">
            <v>Koefisien Alat / M3</v>
          </cell>
          <cell r="D46" t="str">
            <v xml:space="preserve"> =  1  :  Q1</v>
          </cell>
          <cell r="G46" t="str">
            <v>(E10)</v>
          </cell>
          <cell r="H46">
            <v>8.2134991579220114E-3</v>
          </cell>
          <cell r="I46" t="str">
            <v>Jam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(E08)</v>
          </cell>
          <cell r="Q50" t="str">
            <v xml:space="preserve">JUMLAH HARGA PERALATAN   </v>
          </cell>
          <cell r="U50">
            <v>10890.240644000369</v>
          </cell>
        </row>
        <row r="51">
          <cell r="C51" t="str">
            <v>Kapasitas bak</v>
          </cell>
          <cell r="G51" t="str">
            <v>V</v>
          </cell>
          <cell r="H51">
            <v>6.666666666666667</v>
          </cell>
          <cell r="I51" t="str">
            <v>M3</v>
          </cell>
        </row>
        <row r="52">
          <cell r="C52" t="str">
            <v>Faktor 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D.</v>
          </cell>
          <cell r="N52" t="str">
            <v>JUMLAH HARGA TENAGA, BAHAN DAN PERALATAN  ( A + B + C )</v>
          </cell>
          <cell r="U52">
            <v>10963.575446176816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1096.3575446176817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F.</v>
          </cell>
          <cell r="N54" t="str">
            <v>HARGA SATUAN PEKERJAAN  ( D + E )</v>
          </cell>
          <cell r="U54">
            <v>12059.932990794498</v>
          </cell>
        </row>
        <row r="55">
          <cell r="C55" t="str">
            <v>Waktu  siklus</v>
          </cell>
          <cell r="G55" t="str">
            <v>Ts2</v>
          </cell>
          <cell r="I55" t="str">
            <v>menit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- Waktu tempuh isi</v>
          </cell>
          <cell r="E56" t="str">
            <v>=   (L  :  v1)  x  60</v>
          </cell>
          <cell r="G56" t="str">
            <v>T1</v>
          </cell>
          <cell r="H56">
            <v>6.6666666666666661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kosong</v>
          </cell>
          <cell r="E57" t="str">
            <v>=   (L  :  v2)  x  60</v>
          </cell>
          <cell r="G57" t="str">
            <v>T2</v>
          </cell>
          <cell r="H57">
            <v>5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Muat</v>
          </cell>
          <cell r="E58" t="str">
            <v>=   (V  :  Q1) x 60</v>
          </cell>
          <cell r="G58" t="str">
            <v>T3</v>
          </cell>
          <cell r="H58">
            <v>3.2853996631688047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</v>
          </cell>
          <cell r="G59" t="str">
            <v>T4</v>
          </cell>
          <cell r="H59">
            <v>1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15.952066329835471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3.1 (1)</v>
          </cell>
          <cell r="J62" t="str">
            <v>Analisa EI-311</v>
          </cell>
        </row>
        <row r="63">
          <cell r="A63" t="str">
            <v>JENIS PEKERJAAN</v>
          </cell>
          <cell r="D63" t="str">
            <v>:  Galian Biasa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Kapasitas Produksi / Jam   =</v>
          </cell>
          <cell r="E70" t="str">
            <v>V x Fa x 60</v>
          </cell>
          <cell r="G70" t="str">
            <v>Q2</v>
          </cell>
          <cell r="H70">
            <v>17.343625643607776</v>
          </cell>
          <cell r="I70" t="str">
            <v xml:space="preserve">M3/Jam </v>
          </cell>
        </row>
        <row r="71">
          <cell r="E71" t="str">
            <v xml:space="preserve">    Fk x Ts2</v>
          </cell>
        </row>
        <row r="74">
          <cell r="C74" t="str">
            <v>Koefisien Alat / M3</v>
          </cell>
          <cell r="D74" t="str">
            <v xml:space="preserve"> =  1  :  Q2</v>
          </cell>
          <cell r="G74" t="str">
            <v>(E08)</v>
          </cell>
          <cell r="H74">
            <v>5.7658071071694475E-2</v>
          </cell>
          <cell r="I74" t="str">
            <v>Jam</v>
          </cell>
        </row>
        <row r="77">
          <cell r="A77" t="str">
            <v>2.d.</v>
          </cell>
          <cell r="C77" t="str">
            <v>ALAT  BANTU</v>
          </cell>
        </row>
        <row r="78">
          <cell r="C78" t="str">
            <v>Diperlukan alat-alat bantu kecil</v>
          </cell>
          <cell r="J78" t="str">
            <v>Lump Sump</v>
          </cell>
        </row>
        <row r="79">
          <cell r="C79" t="str">
            <v>- Sekop</v>
          </cell>
        </row>
        <row r="80">
          <cell r="C80" t="str">
            <v>- Keranjang</v>
          </cell>
        </row>
        <row r="82">
          <cell r="A82" t="str">
            <v xml:space="preserve">   3.</v>
          </cell>
          <cell r="C82" t="str">
            <v>TENAGA</v>
          </cell>
        </row>
        <row r="83">
          <cell r="C83" t="str">
            <v>Produksi menentukan : EXCAVATOR</v>
          </cell>
          <cell r="G83" t="str">
            <v>Q1</v>
          </cell>
          <cell r="H83">
            <v>121.75078864353311</v>
          </cell>
          <cell r="I83" t="str">
            <v>M3/Jam</v>
          </cell>
        </row>
        <row r="84">
          <cell r="C84" t="str">
            <v>Produksi Galian / hari  =  Tk x Q1</v>
          </cell>
          <cell r="G84" t="str">
            <v>Qt</v>
          </cell>
          <cell r="H84">
            <v>852.25552050473175</v>
          </cell>
          <cell r="I84" t="str">
            <v>M3</v>
          </cell>
        </row>
        <row r="85">
          <cell r="C85" t="str">
            <v>Kebutuhan tenaga :</v>
          </cell>
        </row>
        <row r="86">
          <cell r="D86" t="str">
            <v>- Pekerja</v>
          </cell>
          <cell r="G86" t="str">
            <v>P</v>
          </cell>
          <cell r="H86">
            <v>2</v>
          </cell>
          <cell r="I86" t="str">
            <v>orang</v>
          </cell>
        </row>
        <row r="87">
          <cell r="D87" t="str">
            <v>- Mandor</v>
          </cell>
          <cell r="G87" t="str">
            <v>M</v>
          </cell>
          <cell r="H87">
            <v>1</v>
          </cell>
          <cell r="I87" t="str">
            <v>orang</v>
          </cell>
        </row>
        <row r="89">
          <cell r="C89" t="str">
            <v>Koefisien tenaga / M3   :</v>
          </cell>
        </row>
        <row r="90">
          <cell r="D90" t="str">
            <v>- Pekerja</v>
          </cell>
          <cell r="E90" t="str">
            <v>= (Tk x P) : Qt</v>
          </cell>
          <cell r="G90" t="str">
            <v>(L01)</v>
          </cell>
          <cell r="H90">
            <v>1.6426998315844023E-2</v>
          </cell>
          <cell r="I90" t="str">
            <v>Jam</v>
          </cell>
        </row>
        <row r="91">
          <cell r="D91" t="str">
            <v>- Mandor</v>
          </cell>
          <cell r="E91" t="str">
            <v>= (Tk x M) : Qt</v>
          </cell>
          <cell r="G91" t="str">
            <v>(L03)</v>
          </cell>
          <cell r="H91">
            <v>8.2134991579220114E-3</v>
          </cell>
          <cell r="I91" t="str">
            <v>Jam</v>
          </cell>
        </row>
        <row r="93">
          <cell r="A93" t="str">
            <v>4.</v>
          </cell>
          <cell r="C93" t="str">
            <v>HARGA DASAR SATUAN UPAH, BAHAN DAN ALAT</v>
          </cell>
        </row>
        <row r="94">
          <cell r="C94" t="str">
            <v>Lihat lampiran.</v>
          </cell>
        </row>
        <row r="96">
          <cell r="A96" t="str">
            <v>5.</v>
          </cell>
          <cell r="C96" t="str">
            <v>ANALISA HARGA SATUAN PEKERJAAN</v>
          </cell>
        </row>
        <row r="97">
          <cell r="C97" t="str">
            <v>Lihat perhitungan dalam FORMULIR STANDAR UNTUK</v>
          </cell>
        </row>
        <row r="98">
          <cell r="C98" t="str">
            <v>PEREKEMAN ANALISA MASING-MASING HARGA</v>
          </cell>
        </row>
        <row r="99">
          <cell r="C99" t="str">
            <v>SATUAN.</v>
          </cell>
        </row>
        <row r="100">
          <cell r="C100" t="str">
            <v>Didapat Harga Satuan Pekerjaan :</v>
          </cell>
        </row>
        <row r="102">
          <cell r="C102" t="str">
            <v xml:space="preserve">Rp.  </v>
          </cell>
          <cell r="D102">
            <v>12059.932990794498</v>
          </cell>
          <cell r="E102" t="str">
            <v xml:space="preserve"> / M3</v>
          </cell>
        </row>
        <row r="105">
          <cell r="A105" t="str">
            <v>6.</v>
          </cell>
          <cell r="C105" t="str">
            <v>WAKTU PELAKSANAAN YANG DIPERLUKAN</v>
          </cell>
        </row>
        <row r="106">
          <cell r="C106" t="str">
            <v>Masa Pelaksanaan :</v>
          </cell>
          <cell r="D106" t="str">
            <v>. . . . . . . . . . . .</v>
          </cell>
          <cell r="E106" t="str">
            <v>bulan</v>
          </cell>
        </row>
        <row r="108">
          <cell r="A108" t="str">
            <v>7.</v>
          </cell>
          <cell r="C108" t="str">
            <v>VOLUME PEKERJAAN YANG DIPERLUKAN</v>
          </cell>
        </row>
        <row r="109">
          <cell r="C109" t="str">
            <v>Volume pekerjaan  :</v>
          </cell>
          <cell r="D109">
            <v>0</v>
          </cell>
          <cell r="E109" t="str">
            <v>M3</v>
          </cell>
        </row>
        <row r="121">
          <cell r="A121" t="str">
            <v>ITEM PEMBAYARAN NO.</v>
          </cell>
          <cell r="D121" t="str">
            <v>:  3.1 (2)</v>
          </cell>
          <cell r="J121" t="str">
            <v>Analisa EI-312</v>
          </cell>
          <cell r="T121" t="str">
            <v>Analisa EI-312</v>
          </cell>
        </row>
        <row r="122">
          <cell r="A122" t="str">
            <v>JENIS PEKERJAAN</v>
          </cell>
          <cell r="D122" t="str">
            <v>:  Galian Batu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  <cell r="L123" t="str">
            <v>FORMULIR STANDAR UNTUK</v>
          </cell>
        </row>
        <row r="124">
          <cell r="L124" t="str">
            <v>PEREKAMAN ANALISA MASING-MASING HARGA SATUAN</v>
          </cell>
        </row>
        <row r="125">
          <cell r="L125" t="str">
            <v xml:space="preserve">                                                                                                            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8">
          <cell r="L128" t="str">
            <v>PROYEK</v>
          </cell>
          <cell r="O128" t="str">
            <v>:</v>
          </cell>
        </row>
        <row r="129">
          <cell r="A129" t="str">
            <v>I.</v>
          </cell>
          <cell r="C129" t="str">
            <v>ASUMSI</v>
          </cell>
          <cell r="L129" t="str">
            <v>No. PAKET KONTRAK</v>
          </cell>
          <cell r="O129" t="str">
            <v>:</v>
          </cell>
        </row>
        <row r="130">
          <cell r="A130">
            <v>1</v>
          </cell>
          <cell r="C130" t="str">
            <v>Pekerjaan dilakukan secara manual</v>
          </cell>
          <cell r="L130" t="str">
            <v>NAMA PAKET</v>
          </cell>
          <cell r="O130" t="str">
            <v>:</v>
          </cell>
        </row>
        <row r="131">
          <cell r="A131">
            <v>2</v>
          </cell>
          <cell r="C131" t="str">
            <v>Lokasi pekerjaan : sepanjang jalan</v>
          </cell>
          <cell r="L131" t="str">
            <v>PROP / KAB / KODYA</v>
          </cell>
          <cell r="O131" t="str">
            <v>:</v>
          </cell>
        </row>
        <row r="132">
          <cell r="A132">
            <v>3</v>
          </cell>
          <cell r="C132" t="str">
            <v>Kondisi Jalan   :  sedang / baik</v>
          </cell>
          <cell r="L132" t="str">
            <v>ITEM PEMBAYARAN NO.</v>
          </cell>
          <cell r="O132" t="str">
            <v>:  3.1 (2)</v>
          </cell>
          <cell r="R132" t="str">
            <v>PERKIRAAN VOL. PEK.</v>
          </cell>
          <cell r="T132" t="str">
            <v>:</v>
          </cell>
          <cell r="U132">
            <v>0</v>
          </cell>
        </row>
        <row r="133">
          <cell r="A133">
            <v>4</v>
          </cell>
          <cell r="C133" t="str">
            <v>Jam kerja efektif per-hari</v>
          </cell>
          <cell r="G133" t="str">
            <v>Tk</v>
          </cell>
          <cell r="H133">
            <v>7</v>
          </cell>
          <cell r="I133" t="str">
            <v>Jam</v>
          </cell>
          <cell r="L133" t="str">
            <v>JENIS PEKERJAAN</v>
          </cell>
          <cell r="O133" t="str">
            <v>:  Galian Batu</v>
          </cell>
          <cell r="R133" t="str">
            <v>TOTAL HARGA (Rp.)</v>
          </cell>
          <cell r="T133" t="str">
            <v>:</v>
          </cell>
          <cell r="U133">
            <v>0</v>
          </cell>
        </row>
        <row r="134">
          <cell r="A134">
            <v>5</v>
          </cell>
          <cell r="C134" t="str">
            <v>Faktor pengembangan bahan</v>
          </cell>
          <cell r="G134" t="str">
            <v>Fk</v>
          </cell>
          <cell r="H134">
            <v>1.2</v>
          </cell>
          <cell r="I134" t="str">
            <v>-</v>
          </cell>
          <cell r="L134" t="str">
            <v>SATUAN PEMBAYARAN</v>
          </cell>
          <cell r="O134" t="str">
            <v>:  M3</v>
          </cell>
          <cell r="R134" t="str">
            <v>% THD. BIAYA PROYEK</v>
          </cell>
          <cell r="T134" t="str">
            <v>:</v>
          </cell>
          <cell r="U134" t="e">
            <v>#DIV/0!</v>
          </cell>
        </row>
        <row r="137">
          <cell r="A137" t="str">
            <v>II.</v>
          </cell>
          <cell r="C137" t="str">
            <v>URUTAN KERJA</v>
          </cell>
          <cell r="Q137" t="str">
            <v>PERKIRAAN</v>
          </cell>
          <cell r="R137" t="str">
            <v>HARGA</v>
          </cell>
          <cell r="S137" t="str">
            <v>JUMLAH</v>
          </cell>
        </row>
        <row r="138">
          <cell r="A138">
            <v>1</v>
          </cell>
          <cell r="C138" t="str">
            <v>Batu yg dipotong umumnya berada disisi jalan</v>
          </cell>
          <cell r="L138" t="str">
            <v>NO.</v>
          </cell>
          <cell r="N138" t="str">
            <v>KOMPONEN</v>
          </cell>
          <cell r="P138" t="str">
            <v>SATUAN</v>
          </cell>
          <cell r="Q138" t="str">
            <v>KUANTITAS</v>
          </cell>
          <cell r="R138" t="str">
            <v>SATUAN</v>
          </cell>
          <cell r="S138" t="str">
            <v>HARGA</v>
          </cell>
        </row>
        <row r="139">
          <cell r="A139">
            <v>2</v>
          </cell>
          <cell r="C139" t="str">
            <v>Penggalian dilakukan dengan Excavator, Compresor</v>
          </cell>
          <cell r="R139" t="str">
            <v>(Rp.)</v>
          </cell>
          <cell r="S139" t="str">
            <v>(Rp.)</v>
          </cell>
        </row>
        <row r="140">
          <cell r="C140" t="str">
            <v>dan Jack Hammer, dimuat ke dlm Truk dengan Loader.</v>
          </cell>
        </row>
        <row r="141">
          <cell r="A141">
            <v>3</v>
          </cell>
          <cell r="C141" t="str">
            <v>Dump Truck membuang material hasil galian keluar</v>
          </cell>
        </row>
        <row r="142">
          <cell r="C142" t="str">
            <v>lokasi jalan sejauh :</v>
          </cell>
          <cell r="G142" t="str">
            <v>L</v>
          </cell>
          <cell r="H142">
            <v>5</v>
          </cell>
          <cell r="I142" t="str">
            <v>Km</v>
          </cell>
          <cell r="L142" t="str">
            <v>A.</v>
          </cell>
          <cell r="N142" t="str">
            <v>TENAGA</v>
          </cell>
        </row>
        <row r="144">
          <cell r="L144" t="str">
            <v>1.</v>
          </cell>
          <cell r="N144" t="str">
            <v>Pekerja</v>
          </cell>
          <cell r="O144" t="str">
            <v>(L01)</v>
          </cell>
          <cell r="P144" t="str">
            <v>Jam</v>
          </cell>
          <cell r="Q144">
            <v>1</v>
          </cell>
          <cell r="R144">
            <v>2857.14</v>
          </cell>
          <cell r="U144">
            <v>2857.14</v>
          </cell>
        </row>
        <row r="145">
          <cell r="L145" t="str">
            <v>2.</v>
          </cell>
          <cell r="N145" t="str">
            <v>Mandor</v>
          </cell>
          <cell r="O145" t="str">
            <v>(L03)</v>
          </cell>
          <cell r="P145" t="str">
            <v>Jam</v>
          </cell>
          <cell r="Q145">
            <v>0.125</v>
          </cell>
          <cell r="R145">
            <v>3214.29</v>
          </cell>
          <cell r="U145">
            <v>401.78625</v>
          </cell>
        </row>
        <row r="146">
          <cell r="A146" t="str">
            <v>III.</v>
          </cell>
          <cell r="C146" t="str">
            <v>PEMAKAIAN BAHAN, ALAT DAN TENAGA</v>
          </cell>
        </row>
        <row r="148">
          <cell r="A148" t="str">
            <v xml:space="preserve">   1.</v>
          </cell>
          <cell r="C148" t="str">
            <v>BAHAN</v>
          </cell>
          <cell r="Q148" t="str">
            <v xml:space="preserve">JUMLAH HARGA TENAGA   </v>
          </cell>
          <cell r="U148">
            <v>3258.92625</v>
          </cell>
        </row>
        <row r="149">
          <cell r="C149" t="str">
            <v>Tidak ada bahan yang diperlukan</v>
          </cell>
        </row>
        <row r="150">
          <cell r="L150" t="str">
            <v>B.</v>
          </cell>
          <cell r="N150" t="str">
            <v>BAHAN</v>
          </cell>
        </row>
        <row r="152">
          <cell r="A152" t="str">
            <v xml:space="preserve">   2.</v>
          </cell>
          <cell r="C152" t="str">
            <v>ALAT</v>
          </cell>
        </row>
        <row r="153">
          <cell r="A153" t="str">
            <v xml:space="preserve">   2.a.</v>
          </cell>
          <cell r="C153" t="str">
            <v>COMPRESSOR, EXCAVATOR, JACK HAMMER &amp; LOADER</v>
          </cell>
          <cell r="J153" t="str">
            <v xml:space="preserve"> (E05/26/10/15)</v>
          </cell>
        </row>
        <row r="154">
          <cell r="C154" t="str">
            <v>Produksi per jam</v>
          </cell>
          <cell r="G154" t="str">
            <v>Q1</v>
          </cell>
          <cell r="H154">
            <v>8</v>
          </cell>
          <cell r="I154" t="str">
            <v>M3 / Jam</v>
          </cell>
        </row>
        <row r="156">
          <cell r="C156" t="str">
            <v>Koefisien Alat / m3</v>
          </cell>
          <cell r="D156" t="str">
            <v xml:space="preserve"> =  1  :  Q1</v>
          </cell>
          <cell r="G156" t="str">
            <v>(E05/26)</v>
          </cell>
          <cell r="H156">
            <v>0.125</v>
          </cell>
          <cell r="I156" t="str">
            <v>Jam</v>
          </cell>
        </row>
        <row r="158">
          <cell r="Q158" t="str">
            <v xml:space="preserve">JUMLAH HARGA BAHAN   </v>
          </cell>
          <cell r="U158">
            <v>0</v>
          </cell>
        </row>
        <row r="159">
          <cell r="A159" t="str">
            <v xml:space="preserve">   2.b.</v>
          </cell>
          <cell r="C159" t="str">
            <v>DUMP TRUCK</v>
          </cell>
          <cell r="G159" t="str">
            <v>(E08)</v>
          </cell>
        </row>
        <row r="160">
          <cell r="C160" t="str">
            <v>Kapasitas bak</v>
          </cell>
          <cell r="G160" t="str">
            <v>V</v>
          </cell>
          <cell r="H160">
            <v>4</v>
          </cell>
          <cell r="I160" t="str">
            <v>M3</v>
          </cell>
          <cell r="L160" t="str">
            <v>C.</v>
          </cell>
          <cell r="N160" t="str">
            <v>PERALATAN</v>
          </cell>
        </row>
        <row r="161">
          <cell r="C161" t="str">
            <v>Faktor  efisiensi alat</v>
          </cell>
          <cell r="G161" t="str">
            <v>Fa</v>
          </cell>
          <cell r="H161">
            <v>0.83</v>
          </cell>
          <cell r="I161" t="str">
            <v>-</v>
          </cell>
          <cell r="L161" t="str">
            <v>1.</v>
          </cell>
          <cell r="N161" t="str">
            <v>Compressor</v>
          </cell>
          <cell r="O161" t="str">
            <v>(E05)</v>
          </cell>
          <cell r="P161" t="str">
            <v>Jam</v>
          </cell>
          <cell r="Q161">
            <v>0.125</v>
          </cell>
          <cell r="R161">
            <v>53840.365312835944</v>
          </cell>
          <cell r="U161">
            <v>6730.045664104493</v>
          </cell>
        </row>
        <row r="162">
          <cell r="C162" t="str">
            <v>Kecepatan rata-rata bermuatan</v>
          </cell>
          <cell r="G162" t="str">
            <v>v1</v>
          </cell>
          <cell r="H162">
            <v>45</v>
          </cell>
          <cell r="I162" t="str">
            <v>KM/Jam</v>
          </cell>
          <cell r="L162" t="str">
            <v>2.</v>
          </cell>
          <cell r="N162" t="str">
            <v>Jack Hammer</v>
          </cell>
          <cell r="O162" t="str">
            <v>(E26)</v>
          </cell>
          <cell r="P162" t="str">
            <v>Jam</v>
          </cell>
          <cell r="Q162">
            <v>0.125</v>
          </cell>
          <cell r="R162">
            <v>16417.550326811437</v>
          </cell>
          <cell r="U162">
            <v>2052.1937908514296</v>
          </cell>
        </row>
        <row r="163">
          <cell r="C163" t="str">
            <v>Kecepatan rata-rata kosong</v>
          </cell>
          <cell r="G163" t="str">
            <v>v2</v>
          </cell>
          <cell r="H163">
            <v>60</v>
          </cell>
          <cell r="I163" t="str">
            <v>KM/Jam</v>
          </cell>
          <cell r="L163" t="str">
            <v>3.</v>
          </cell>
          <cell r="N163" t="str">
            <v>Wheel Loader</v>
          </cell>
          <cell r="O163" t="str">
            <v>(E15)</v>
          </cell>
          <cell r="P163" t="str">
            <v>Jam</v>
          </cell>
          <cell r="Q163">
            <v>0.125</v>
          </cell>
          <cell r="R163">
            <v>163808.13869490434</v>
          </cell>
          <cell r="U163">
            <v>20476.017336863042</v>
          </cell>
        </row>
        <row r="164">
          <cell r="C164" t="str">
            <v>Waktu  siklus</v>
          </cell>
          <cell r="G164" t="str">
            <v>Ts1</v>
          </cell>
          <cell r="I164" t="str">
            <v>menit</v>
          </cell>
          <cell r="L164" t="str">
            <v>4.</v>
          </cell>
          <cell r="N164" t="str">
            <v>Excavator</v>
          </cell>
          <cell r="O164" t="str">
            <v>(E10)</v>
          </cell>
          <cell r="P164" t="str">
            <v>Jam</v>
          </cell>
          <cell r="Q164">
            <v>0.125</v>
          </cell>
          <cell r="R164">
            <v>238185.05650827778</v>
          </cell>
          <cell r="U164">
            <v>29773.132063534722</v>
          </cell>
        </row>
        <row r="165">
          <cell r="C165" t="str">
            <v>- Waktu tempuh isi</v>
          </cell>
          <cell r="E165" t="str">
            <v>=   (L  :  v1)  x  60</v>
          </cell>
          <cell r="G165" t="str">
            <v>T1</v>
          </cell>
          <cell r="H165">
            <v>6.6666666666666661</v>
          </cell>
          <cell r="I165" t="str">
            <v>menit</v>
          </cell>
          <cell r="L165">
            <v>5</v>
          </cell>
          <cell r="N165" t="str">
            <v>Dump Truck</v>
          </cell>
          <cell r="O165" t="str">
            <v>(E08)</v>
          </cell>
          <cell r="P165" t="str">
            <v>Jam</v>
          </cell>
          <cell r="Q165">
            <v>0.26305220883534136</v>
          </cell>
          <cell r="R165">
            <v>153645.58193291764</v>
          </cell>
          <cell r="U165">
            <v>40416.809705245403</v>
          </cell>
        </row>
        <row r="166">
          <cell r="C166" t="str">
            <v>- Waktu tempuh kosong</v>
          </cell>
          <cell r="E166" t="str">
            <v>=   (L  :  v2)  x  60</v>
          </cell>
          <cell r="G166" t="str">
            <v>T2</v>
          </cell>
          <cell r="H166">
            <v>5</v>
          </cell>
          <cell r="I166" t="str">
            <v>menit</v>
          </cell>
          <cell r="N166" t="str">
            <v>Alat  bantu</v>
          </cell>
          <cell r="P166" t="str">
            <v>Ls</v>
          </cell>
          <cell r="Q166">
            <v>1</v>
          </cell>
          <cell r="R166">
            <v>225</v>
          </cell>
          <cell r="U166">
            <v>225</v>
          </cell>
        </row>
        <row r="167">
          <cell r="C167" t="str">
            <v>- Muat</v>
          </cell>
          <cell r="E167" t="str">
            <v>=   (V  :  Q1) x 60</v>
          </cell>
          <cell r="G167" t="str">
            <v>T3</v>
          </cell>
          <cell r="H167">
            <v>30</v>
          </cell>
          <cell r="I167" t="str">
            <v>menit</v>
          </cell>
        </row>
        <row r="168">
          <cell r="C168" t="str">
            <v>- Lain-lain</v>
          </cell>
          <cell r="G168" t="str">
            <v>T4</v>
          </cell>
          <cell r="H168">
            <v>2</v>
          </cell>
          <cell r="I168" t="str">
            <v>menit</v>
          </cell>
        </row>
        <row r="169">
          <cell r="G169" t="str">
            <v>Ts1</v>
          </cell>
          <cell r="H169">
            <v>43.666666666666664</v>
          </cell>
          <cell r="I169" t="str">
            <v>menit</v>
          </cell>
        </row>
        <row r="170">
          <cell r="Q170" t="str">
            <v xml:space="preserve">JUMLAH HARGA PERALATAN   </v>
          </cell>
          <cell r="U170">
            <v>99673.198560599092</v>
          </cell>
        </row>
        <row r="172">
          <cell r="C172" t="str">
            <v>Kapasitas Produksi / Jam   =</v>
          </cell>
          <cell r="E172" t="str">
            <v>V x Fa x 60</v>
          </cell>
          <cell r="G172" t="str">
            <v>Q2</v>
          </cell>
          <cell r="H172">
            <v>3.8015267175572518</v>
          </cell>
          <cell r="I172" t="str">
            <v xml:space="preserve">M3 / Jam </v>
          </cell>
          <cell r="L172" t="str">
            <v>D.</v>
          </cell>
          <cell r="N172" t="str">
            <v>JUMLAH HARGA TENAGA, BAHAN DAN PERALATAN  ( A + B + C )</v>
          </cell>
          <cell r="U172">
            <v>102932.1248105991</v>
          </cell>
        </row>
        <row r="173">
          <cell r="E173" t="str">
            <v xml:space="preserve">    Fk x Ts1</v>
          </cell>
          <cell r="L173" t="str">
            <v>E.</v>
          </cell>
          <cell r="N173" t="str">
            <v>OVERHEAD &amp; PROFIT</v>
          </cell>
          <cell r="P173">
            <v>10</v>
          </cell>
          <cell r="Q173" t="str">
            <v>%  x  D</v>
          </cell>
          <cell r="U173">
            <v>10293.212481059911</v>
          </cell>
        </row>
        <row r="174">
          <cell r="L174" t="str">
            <v>F.</v>
          </cell>
          <cell r="N174" t="str">
            <v>HARGA SATUAN PEKERJAAN  ( D + E )</v>
          </cell>
          <cell r="U174">
            <v>113225.337291659</v>
          </cell>
        </row>
        <row r="175">
          <cell r="L175" t="str">
            <v>Note: 1</v>
          </cell>
          <cell r="N175" t="str">
            <v>SATUAN dapat berdasarkan atas jam operasi untuk Tenaga Kerja dan Peralatan, volume dan/atau ukuran</v>
          </cell>
        </row>
        <row r="176">
          <cell r="C176" t="str">
            <v>Koefisien Alat / m3</v>
          </cell>
          <cell r="D176" t="str">
            <v xml:space="preserve"> =  1  :  Q2</v>
          </cell>
          <cell r="G176" t="str">
            <v>(E08)</v>
          </cell>
          <cell r="H176">
            <v>0.26305220883534136</v>
          </cell>
          <cell r="I176" t="str">
            <v>Jam</v>
          </cell>
          <cell r="N176" t="str">
            <v>berat untuk bahan-bahan.</v>
          </cell>
        </row>
        <row r="177">
          <cell r="L177">
            <v>2</v>
          </cell>
          <cell r="N177" t="str">
            <v>Kuantitas satuan adalah kuantitas setiap komponen untuk menyelesaikan satu satuan pekerjaan dari nomor</v>
          </cell>
        </row>
        <row r="178">
          <cell r="N178" t="str">
            <v>mata pembayaran.</v>
          </cell>
        </row>
        <row r="179">
          <cell r="L179">
            <v>3</v>
          </cell>
          <cell r="N179" t="str">
            <v>Biaya satuan untuk peralatan sudah termasuk bahan bakar, bahan habis dipakai dan operator.</v>
          </cell>
        </row>
        <row r="180">
          <cell r="L180">
            <v>4</v>
          </cell>
          <cell r="N180" t="str">
            <v>Biaya satuan sudah termasuk pengeluaran untuk seluruh pajak yang berkaitan (tetapi tidak termasuk PPN</v>
          </cell>
        </row>
        <row r="181">
          <cell r="J181" t="str">
            <v>Berlanjut ke halaman berikut</v>
          </cell>
          <cell r="N181" t="str">
            <v>yang dibayar dari kontrak) dan biaya-biaya lainnya.</v>
          </cell>
        </row>
        <row r="182">
          <cell r="A182" t="str">
            <v>ITEM PEMBAYARAN NO.</v>
          </cell>
          <cell r="D182" t="str">
            <v>:  3.1 (2)</v>
          </cell>
          <cell r="J182" t="str">
            <v>Analisa EI-312</v>
          </cell>
        </row>
        <row r="183">
          <cell r="A183" t="str">
            <v>JENIS PEKERJAAN</v>
          </cell>
          <cell r="D183" t="str">
            <v>:  Galian Batu</v>
          </cell>
        </row>
        <row r="184">
          <cell r="A184" t="str">
            <v>SATUAN PEMBAYARAN</v>
          </cell>
          <cell r="D184" t="str">
            <v>:  M3</v>
          </cell>
          <cell r="H184" t="str">
            <v xml:space="preserve">         URAIAN ANALISA HARGA SATUAN</v>
          </cell>
        </row>
        <row r="185">
          <cell r="J185" t="str">
            <v>Lanjutan</v>
          </cell>
        </row>
        <row r="187">
          <cell r="A187" t="str">
            <v>No.</v>
          </cell>
          <cell r="C187" t="str">
            <v>U R A I A N</v>
          </cell>
          <cell r="G187" t="str">
            <v>KODE</v>
          </cell>
          <cell r="H187" t="str">
            <v>KOEF.</v>
          </cell>
          <cell r="I187" t="str">
            <v>SATUAN</v>
          </cell>
          <cell r="J187" t="str">
            <v>KETERANGAN</v>
          </cell>
        </row>
        <row r="190">
          <cell r="A190" t="str">
            <v>2.d.</v>
          </cell>
          <cell r="C190" t="str">
            <v>ALAT  BANTU</v>
          </cell>
        </row>
        <row r="191">
          <cell r="C191" t="str">
            <v>Diperlukan alat-alat bantu kecil</v>
          </cell>
          <cell r="J191" t="str">
            <v>Lump Sump</v>
          </cell>
        </row>
        <row r="192">
          <cell r="C192" t="str">
            <v>- Pahat / Tatah</v>
          </cell>
          <cell r="D192" t="str">
            <v>=  2  buah</v>
          </cell>
        </row>
        <row r="193">
          <cell r="C193" t="str">
            <v>- Palu Besar</v>
          </cell>
          <cell r="D193" t="str">
            <v>=  2  buah</v>
          </cell>
        </row>
        <row r="195">
          <cell r="A195" t="str">
            <v xml:space="preserve">   3.</v>
          </cell>
          <cell r="C195" t="str">
            <v>TENAGA</v>
          </cell>
        </row>
        <row r="196">
          <cell r="C196" t="str">
            <v>Produksi menentukan : JACK HAMMER</v>
          </cell>
          <cell r="G196" t="str">
            <v>Q1</v>
          </cell>
          <cell r="H196">
            <v>8</v>
          </cell>
          <cell r="I196" t="str">
            <v>M3/Jam</v>
          </cell>
        </row>
        <row r="197">
          <cell r="C197" t="str">
            <v>Produksi Galian / hari  =  Tk x Q1</v>
          </cell>
          <cell r="G197" t="str">
            <v>Qt</v>
          </cell>
          <cell r="H197">
            <v>56</v>
          </cell>
          <cell r="I197" t="str">
            <v>M3</v>
          </cell>
        </row>
        <row r="198">
          <cell r="C198" t="str">
            <v>Kebutuhan tenaga :</v>
          </cell>
        </row>
        <row r="199">
          <cell r="D199" t="str">
            <v>- Pekerja</v>
          </cell>
          <cell r="G199" t="str">
            <v>P</v>
          </cell>
          <cell r="H199">
            <v>8</v>
          </cell>
          <cell r="I199" t="str">
            <v>orang</v>
          </cell>
        </row>
        <row r="200">
          <cell r="D200" t="str">
            <v>- Mandor</v>
          </cell>
          <cell r="G200" t="str">
            <v>M</v>
          </cell>
          <cell r="H200">
            <v>1</v>
          </cell>
          <cell r="I200" t="str">
            <v>orang</v>
          </cell>
        </row>
        <row r="202">
          <cell r="C202" t="str">
            <v>Koefisien tenaga / M3   :</v>
          </cell>
        </row>
        <row r="203">
          <cell r="D203" t="str">
            <v>- Pekerja</v>
          </cell>
          <cell r="E203" t="str">
            <v>= (Tk x P) : Qt</v>
          </cell>
          <cell r="G203" t="str">
            <v>(L01)</v>
          </cell>
          <cell r="H203">
            <v>1</v>
          </cell>
          <cell r="I203" t="str">
            <v>Jam</v>
          </cell>
        </row>
        <row r="204">
          <cell r="D204" t="str">
            <v>- Mandor</v>
          </cell>
          <cell r="E204" t="str">
            <v>= (Tk x M) : Qt</v>
          </cell>
          <cell r="G204" t="str">
            <v>(L03)</v>
          </cell>
          <cell r="H204">
            <v>0.125</v>
          </cell>
          <cell r="I204" t="str">
            <v>Jam</v>
          </cell>
        </row>
        <row r="206">
          <cell r="A206" t="str">
            <v>4.</v>
          </cell>
          <cell r="C206" t="str">
            <v>HARGA DASAR SATUAN UPAH, BAHAN DAN ALAT</v>
          </cell>
        </row>
        <row r="207">
          <cell r="C207" t="str">
            <v>Lihat lampiran.</v>
          </cell>
        </row>
        <row r="209">
          <cell r="A209" t="str">
            <v>5.</v>
          </cell>
          <cell r="C209" t="str">
            <v>ANALISA HARGA SATUAN PEKERJAAN</v>
          </cell>
        </row>
        <row r="210">
          <cell r="C210" t="str">
            <v>Lihat perhitungan dalam FORMULIR STANDAR UNTUK</v>
          </cell>
        </row>
        <row r="211">
          <cell r="C211" t="str">
            <v>PEREKEMAN ANALISA MASING-MASING HARGA</v>
          </cell>
        </row>
        <row r="212">
          <cell r="C212" t="str">
            <v>SATUAN.</v>
          </cell>
        </row>
        <row r="213">
          <cell r="C213" t="str">
            <v>Didapat Harga Satuan Pekerjaan :</v>
          </cell>
        </row>
        <row r="215">
          <cell r="C215" t="str">
            <v xml:space="preserve">Rp.  </v>
          </cell>
          <cell r="D215">
            <v>113225.337291659</v>
          </cell>
          <cell r="E215" t="str">
            <v xml:space="preserve"> / M3</v>
          </cell>
        </row>
        <row r="218">
          <cell r="A218" t="str">
            <v>6.</v>
          </cell>
          <cell r="C218" t="str">
            <v>WAKTU PELAKSANAAN YANG DIPERLUKAN</v>
          </cell>
        </row>
        <row r="219">
          <cell r="C219" t="str">
            <v>Masa Pelaksanaan :</v>
          </cell>
          <cell r="D219" t="str">
            <v>. . . . . . . . . . . .</v>
          </cell>
          <cell r="E219" t="str">
            <v>bulan</v>
          </cell>
        </row>
        <row r="221">
          <cell r="A221" t="str">
            <v>7.</v>
          </cell>
          <cell r="C221" t="str">
            <v>VOLUME PEKERJAAN YANG DIPERLUKAN</v>
          </cell>
        </row>
        <row r="222">
          <cell r="C222" t="str">
            <v>Volume pekerjaan  :</v>
          </cell>
          <cell r="D222">
            <v>0</v>
          </cell>
          <cell r="E222" t="str">
            <v>M3</v>
          </cell>
        </row>
        <row r="255">
          <cell r="A255" t="str">
            <v>ITEM PEMBAYARAN NO.</v>
          </cell>
          <cell r="D255" t="str">
            <v>:  3.1 (6)</v>
          </cell>
          <cell r="J255" t="str">
            <v>Analisa EI-313</v>
          </cell>
          <cell r="T255" t="str">
            <v>Analisa EI-313</v>
          </cell>
        </row>
        <row r="256">
          <cell r="A256" t="str">
            <v>JENIS PEKERJAAN</v>
          </cell>
          <cell r="D256" t="str">
            <v>:  Galian Struktur dengan Kedalaman 0 - 2 M</v>
          </cell>
        </row>
        <row r="257">
          <cell r="A257" t="str">
            <v>SATUAN PEMBAYARAN</v>
          </cell>
          <cell r="D257" t="str">
            <v>:  M3</v>
          </cell>
          <cell r="H257" t="str">
            <v xml:space="preserve">         URAIAN ANALISA HARGA SATUAN</v>
          </cell>
          <cell r="L257" t="str">
            <v>FORMULIR STANDAR UNTUK</v>
          </cell>
        </row>
        <row r="258">
          <cell r="L258" t="str">
            <v>PEREKAMAN ANALISA MASING-MASING HARGA SATUAN</v>
          </cell>
        </row>
        <row r="259">
          <cell r="L259" t="str">
            <v xml:space="preserve">                                                                                                            </v>
          </cell>
        </row>
        <row r="260">
          <cell r="A260" t="str">
            <v>No.</v>
          </cell>
          <cell r="C260" t="str">
            <v>U R A I A N</v>
          </cell>
          <cell r="G260" t="str">
            <v>KODE</v>
          </cell>
          <cell r="H260" t="str">
            <v>KOEF.</v>
          </cell>
          <cell r="I260" t="str">
            <v>SATUAN</v>
          </cell>
          <cell r="J260" t="str">
            <v>KETERANGAN</v>
          </cell>
        </row>
        <row r="262">
          <cell r="L262" t="str">
            <v>PROYEK</v>
          </cell>
          <cell r="O262" t="str">
            <v>:</v>
          </cell>
        </row>
        <row r="263">
          <cell r="A263" t="str">
            <v>I.</v>
          </cell>
          <cell r="C263" t="str">
            <v>ASUMSI</v>
          </cell>
          <cell r="L263" t="str">
            <v>No. PAKET KONTRAK</v>
          </cell>
          <cell r="O263" t="str">
            <v>:</v>
          </cell>
        </row>
        <row r="264">
          <cell r="A264">
            <v>1</v>
          </cell>
          <cell r="C264" t="str">
            <v>Pekerjaan dilakukan secara manual</v>
          </cell>
          <cell r="L264" t="str">
            <v>NAMA PAKET</v>
          </cell>
          <cell r="O264" t="str">
            <v>:</v>
          </cell>
        </row>
        <row r="265">
          <cell r="A265">
            <v>2</v>
          </cell>
          <cell r="C265" t="str">
            <v>Lokasi pekerjaan : sekitar jembatan</v>
          </cell>
          <cell r="L265" t="str">
            <v>PROP / KAB / KODYA</v>
          </cell>
          <cell r="O265" t="str">
            <v>:</v>
          </cell>
        </row>
        <row r="266">
          <cell r="A266">
            <v>3</v>
          </cell>
          <cell r="C266" t="str">
            <v>Kondisi Jalan   :  sedang / baik</v>
          </cell>
          <cell r="L266" t="str">
            <v>ITEM PEMBAYARAN NO.</v>
          </cell>
          <cell r="O266" t="str">
            <v>:  3.1 (6)</v>
          </cell>
          <cell r="R266" t="str">
            <v>PERKIRAAN VOL. PEK.</v>
          </cell>
          <cell r="T266" t="str">
            <v>:</v>
          </cell>
          <cell r="U266">
            <v>0</v>
          </cell>
        </row>
        <row r="267">
          <cell r="A267">
            <v>4</v>
          </cell>
          <cell r="C267" t="str">
            <v>Jam kerja efektif per-hari</v>
          </cell>
          <cell r="G267" t="str">
            <v>Tk</v>
          </cell>
          <cell r="H267">
            <v>7</v>
          </cell>
          <cell r="I267" t="str">
            <v>Jam</v>
          </cell>
          <cell r="L267" t="str">
            <v>JENIS PEKERJAAN</v>
          </cell>
          <cell r="O267" t="str">
            <v>:  Galian Struktur dengan Kedalaman 0 - 2 M</v>
          </cell>
          <cell r="R267" t="str">
            <v>TOTAL HARGA (Rp.)</v>
          </cell>
          <cell r="T267" t="str">
            <v>:</v>
          </cell>
          <cell r="U267">
            <v>0</v>
          </cell>
        </row>
        <row r="268">
          <cell r="A268">
            <v>5</v>
          </cell>
          <cell r="C268" t="str">
            <v>Faktor pengembangan bahan</v>
          </cell>
          <cell r="G268" t="str">
            <v>Fh</v>
          </cell>
          <cell r="H268">
            <v>1.2</v>
          </cell>
          <cell r="I268" t="str">
            <v>-</v>
          </cell>
          <cell r="L268" t="str">
            <v>SATUAN PEMBAYARAN</v>
          </cell>
          <cell r="O268" t="str">
            <v>:  M3</v>
          </cell>
          <cell r="R268" t="str">
            <v>% THD. BIAYA PROYEK</v>
          </cell>
          <cell r="T268" t="str">
            <v>:</v>
          </cell>
          <cell r="U268" t="e">
            <v>#DIV/0!</v>
          </cell>
        </row>
        <row r="269">
          <cell r="A269">
            <v>6</v>
          </cell>
          <cell r="C269" t="str">
            <v>Pengurugan kembali (backfill) untuk struktur</v>
          </cell>
          <cell r="G269" t="str">
            <v>Uk</v>
          </cell>
          <cell r="H269">
            <v>50</v>
          </cell>
          <cell r="I269" t="str">
            <v>%/M3</v>
          </cell>
        </row>
        <row r="271">
          <cell r="A271" t="str">
            <v>II.</v>
          </cell>
          <cell r="C271" t="str">
            <v>METHODE PELAKSANAAN</v>
          </cell>
          <cell r="Q271" t="str">
            <v>PERKIRAAN</v>
          </cell>
          <cell r="R271" t="str">
            <v>HARGA</v>
          </cell>
          <cell r="S271" t="str">
            <v>JUMLAH</v>
          </cell>
        </row>
        <row r="272">
          <cell r="A272">
            <v>1</v>
          </cell>
          <cell r="C272" t="str">
            <v>Tanah yang dipotong berada disekitar lokasi</v>
          </cell>
          <cell r="L272" t="str">
            <v>NO.</v>
          </cell>
          <cell r="N272" t="str">
            <v>KOMPONEN</v>
          </cell>
          <cell r="P272" t="str">
            <v>SATUAN</v>
          </cell>
          <cell r="Q272" t="str">
            <v>KUANTITAS</v>
          </cell>
          <cell r="R272" t="str">
            <v>SATUAN</v>
          </cell>
          <cell r="S272" t="str">
            <v>HARGA</v>
          </cell>
        </row>
        <row r="273">
          <cell r="A273">
            <v>2</v>
          </cell>
          <cell r="C273" t="str">
            <v>Penggalian dilakukan dengan menggunakan alat</v>
          </cell>
          <cell r="R273" t="str">
            <v>(Rp.)</v>
          </cell>
          <cell r="S273" t="str">
            <v>(Rp.)</v>
          </cell>
        </row>
        <row r="274">
          <cell r="C274" t="str">
            <v>Excavator</v>
          </cell>
        </row>
        <row r="275">
          <cell r="A275">
            <v>3</v>
          </cell>
          <cell r="C275" t="str">
            <v>Bulldozer mengangkut/mengusur hasil galian ke tempat</v>
          </cell>
        </row>
        <row r="276">
          <cell r="C276" t="str">
            <v>pembuangan di sekitar lokasi pekerjaan</v>
          </cell>
          <cell r="G276" t="str">
            <v>L</v>
          </cell>
          <cell r="H276">
            <v>0.1</v>
          </cell>
          <cell r="I276" t="str">
            <v>Km</v>
          </cell>
          <cell r="L276" t="str">
            <v>A.</v>
          </cell>
          <cell r="N276" t="str">
            <v>TENAGA</v>
          </cell>
        </row>
        <row r="278">
          <cell r="A278" t="str">
            <v>III.</v>
          </cell>
          <cell r="C278" t="str">
            <v>PEMAKAIAN BAHAN, ALAT DAN TENAGA</v>
          </cell>
          <cell r="L278" t="str">
            <v>1.</v>
          </cell>
          <cell r="N278" t="str">
            <v>Pekerja</v>
          </cell>
          <cell r="O278" t="str">
            <v>(L01)</v>
          </cell>
          <cell r="P278" t="str">
            <v>Jam</v>
          </cell>
          <cell r="Q278">
            <v>0.12701025480797318</v>
          </cell>
          <cell r="R278">
            <v>2857.14</v>
          </cell>
          <cell r="U278">
            <v>362.88607942205249</v>
          </cell>
        </row>
        <row r="279">
          <cell r="L279" t="str">
            <v>2.</v>
          </cell>
          <cell r="N279" t="str">
            <v>Mandor</v>
          </cell>
          <cell r="O279" t="str">
            <v>(L03)</v>
          </cell>
          <cell r="P279" t="str">
            <v>Jam</v>
          </cell>
          <cell r="Q279">
            <v>3.1752563701993294E-2</v>
          </cell>
          <cell r="R279">
            <v>3214.29</v>
          </cell>
          <cell r="U279">
            <v>102.06194798168002</v>
          </cell>
        </row>
        <row r="280">
          <cell r="A280" t="str">
            <v xml:space="preserve">   1.</v>
          </cell>
          <cell r="C280" t="str">
            <v>BAHAN</v>
          </cell>
        </row>
        <row r="281">
          <cell r="C281" t="str">
            <v>- Urugan Pilihan (untuk backfill)</v>
          </cell>
          <cell r="E281" t="str">
            <v>= Uk x 1M3</v>
          </cell>
          <cell r="G281" t="str">
            <v>(EI-322)</v>
          </cell>
          <cell r="H281">
            <v>0.5</v>
          </cell>
          <cell r="I281" t="str">
            <v>M3</v>
          </cell>
        </row>
        <row r="282">
          <cell r="Q282" t="str">
            <v xml:space="preserve">JUMLAH HARGA TENAGA   </v>
          </cell>
          <cell r="U282">
            <v>464.94802740373251</v>
          </cell>
        </row>
        <row r="283">
          <cell r="A283" t="str">
            <v xml:space="preserve">   2.</v>
          </cell>
          <cell r="C283" t="str">
            <v>ALAT</v>
          </cell>
        </row>
        <row r="284">
          <cell r="A284" t="str">
            <v xml:space="preserve">   2.a.</v>
          </cell>
          <cell r="C284" t="str">
            <v>EXCAVATOR</v>
          </cell>
          <cell r="G284" t="str">
            <v>(E10)</v>
          </cell>
          <cell r="L284" t="str">
            <v>B.</v>
          </cell>
          <cell r="N284" t="str">
            <v>BAHAN</v>
          </cell>
        </row>
        <row r="285">
          <cell r="C285" t="str">
            <v>Kapasitas Bucket</v>
          </cell>
          <cell r="G285" t="str">
            <v>V</v>
          </cell>
          <cell r="H285">
            <v>0.93</v>
          </cell>
          <cell r="I285" t="str">
            <v>M3</v>
          </cell>
        </row>
        <row r="286">
          <cell r="C286" t="str">
            <v>Faktor Bucket</v>
          </cell>
          <cell r="G286" t="str">
            <v>Fb</v>
          </cell>
          <cell r="H286">
            <v>0.9</v>
          </cell>
          <cell r="I286" t="str">
            <v>-</v>
          </cell>
          <cell r="L286" t="str">
            <v>1.</v>
          </cell>
          <cell r="N286" t="str">
            <v xml:space="preserve">Urugan Pilihan </v>
          </cell>
          <cell r="O286" t="str">
            <v>(EI-322)</v>
          </cell>
          <cell r="P286" t="str">
            <v>M3</v>
          </cell>
          <cell r="Q286">
            <v>0.5</v>
          </cell>
          <cell r="R286">
            <v>455558.60740011773</v>
          </cell>
          <cell r="U286">
            <v>227779.30370005887</v>
          </cell>
        </row>
        <row r="287">
          <cell r="C287" t="str">
            <v>Faktor  Efisiensi alat</v>
          </cell>
          <cell r="G287" t="str">
            <v>Fa</v>
          </cell>
          <cell r="H287">
            <v>0.83</v>
          </cell>
          <cell r="I287" t="str">
            <v>-</v>
          </cell>
        </row>
        <row r="288">
          <cell r="C288" t="str">
            <v>Faktor kedalaman</v>
          </cell>
          <cell r="G288" t="str">
            <v>Fd</v>
          </cell>
          <cell r="H288">
            <v>0.8</v>
          </cell>
          <cell r="I288" t="str">
            <v>-</v>
          </cell>
        </row>
        <row r="289">
          <cell r="C289" t="str">
            <v>Berat isi material</v>
          </cell>
          <cell r="G289" t="str">
            <v>Bim</v>
          </cell>
          <cell r="H289">
            <v>0.85</v>
          </cell>
          <cell r="I289" t="str">
            <v>-</v>
          </cell>
        </row>
        <row r="291">
          <cell r="C291" t="str">
            <v>Waktu siklus</v>
          </cell>
        </row>
        <row r="292">
          <cell r="C292" t="str">
            <v>- Menggali / memuat</v>
          </cell>
          <cell r="G292" t="str">
            <v>Te1</v>
          </cell>
          <cell r="H292">
            <v>0.5</v>
          </cell>
          <cell r="I292" t="str">
            <v>menit</v>
          </cell>
          <cell r="Q292" t="str">
            <v xml:space="preserve">JUMLAH HARGA BAHAN   </v>
          </cell>
          <cell r="U292">
            <v>227779.30370005887</v>
          </cell>
        </row>
        <row r="293">
          <cell r="C293" t="str">
            <v>- Lain-lain</v>
          </cell>
          <cell r="G293" t="str">
            <v>Te2</v>
          </cell>
          <cell r="H293">
            <v>0.25</v>
          </cell>
          <cell r="I293" t="str">
            <v>menit</v>
          </cell>
        </row>
        <row r="294">
          <cell r="G294" t="str">
            <v>Te</v>
          </cell>
          <cell r="H294">
            <v>0.75</v>
          </cell>
          <cell r="I294" t="str">
            <v>menit</v>
          </cell>
          <cell r="L294" t="str">
            <v>C.</v>
          </cell>
          <cell r="N294" t="str">
            <v>PERALATAN</v>
          </cell>
        </row>
        <row r="295">
          <cell r="L295" t="str">
            <v>1.</v>
          </cell>
          <cell r="N295" t="str">
            <v>Excavator</v>
          </cell>
          <cell r="O295" t="str">
            <v>(E10)</v>
          </cell>
          <cell r="P295" t="str">
            <v>Jam</v>
          </cell>
          <cell r="Q295">
            <v>3.1752563701993294E-2</v>
          </cell>
          <cell r="R295">
            <v>238185.05650827778</v>
          </cell>
          <cell r="U295">
            <v>7562.9861796419627</v>
          </cell>
        </row>
        <row r="296">
          <cell r="L296" t="str">
            <v>2.</v>
          </cell>
          <cell r="N296" t="str">
            <v>Bulldozer</v>
          </cell>
          <cell r="O296" t="str">
            <v>(E04)</v>
          </cell>
          <cell r="P296" t="str">
            <v>Jam</v>
          </cell>
          <cell r="Q296">
            <v>1.0213694283306062E-4</v>
          </cell>
          <cell r="R296">
            <v>256721.09983229413</v>
          </cell>
          <cell r="U296">
            <v>26.220708297611473</v>
          </cell>
        </row>
        <row r="297">
          <cell r="C297" t="str">
            <v>Kap. Prod. / jam =</v>
          </cell>
          <cell r="D297" t="str">
            <v>V  x Fb x Fa x Fd x Bim x 60</v>
          </cell>
          <cell r="G297" t="str">
            <v>Q1</v>
          </cell>
          <cell r="H297">
            <v>31.493520000000004</v>
          </cell>
          <cell r="I297" t="str">
            <v>M3/Jam</v>
          </cell>
          <cell r="L297" t="str">
            <v>3.</v>
          </cell>
          <cell r="N297" t="str">
            <v>Alat  bantu</v>
          </cell>
          <cell r="P297" t="str">
            <v>Ls</v>
          </cell>
          <cell r="Q297">
            <v>1</v>
          </cell>
          <cell r="R297">
            <v>100</v>
          </cell>
          <cell r="U297">
            <v>100</v>
          </cell>
        </row>
        <row r="298">
          <cell r="D298" t="str">
            <v>Te x Fh</v>
          </cell>
        </row>
        <row r="300">
          <cell r="C300" t="str">
            <v>Koefisien Alat / M3</v>
          </cell>
          <cell r="D300" t="str">
            <v xml:space="preserve"> =  1  :  Q1</v>
          </cell>
          <cell r="G300" t="str">
            <v>(E10)</v>
          </cell>
          <cell r="H300">
            <v>3.1752563701993294E-2</v>
          </cell>
          <cell r="I300" t="str">
            <v>Jam</v>
          </cell>
        </row>
        <row r="303">
          <cell r="A303" t="str">
            <v>2.a.</v>
          </cell>
          <cell r="C303" t="str">
            <v>BULLDOZER</v>
          </cell>
          <cell r="G303" t="str">
            <v>(E04)</v>
          </cell>
        </row>
        <row r="304">
          <cell r="C304" t="str">
            <v>Faktor pisau (blade)</v>
          </cell>
          <cell r="G304" t="str">
            <v>Fb</v>
          </cell>
          <cell r="H304">
            <v>1</v>
          </cell>
          <cell r="I304" t="str">
            <v>-</v>
          </cell>
          <cell r="Q304" t="str">
            <v xml:space="preserve">JUMLAH HARGA PERALATAN   </v>
          </cell>
          <cell r="U304">
            <v>7689.2068879395738</v>
          </cell>
        </row>
        <row r="305">
          <cell r="C305" t="str">
            <v>Faktor  efisiensi kerja</v>
          </cell>
          <cell r="G305" t="str">
            <v>Fa</v>
          </cell>
          <cell r="H305">
            <v>0.83</v>
          </cell>
          <cell r="I305" t="str">
            <v>-</v>
          </cell>
        </row>
        <row r="306">
          <cell r="C306" t="str">
            <v>Kecepatan mengupas</v>
          </cell>
          <cell r="G306" t="str">
            <v>Vf</v>
          </cell>
          <cell r="H306">
            <v>3</v>
          </cell>
          <cell r="I306" t="str">
            <v>Km/Jam</v>
          </cell>
          <cell r="L306" t="str">
            <v>D.</v>
          </cell>
          <cell r="N306" t="str">
            <v>JUMLAH HARGA TENAGA, BAHAN DAN PERALATAN  ( A + B + C )</v>
          </cell>
          <cell r="U306">
            <v>235933.45861540217</v>
          </cell>
        </row>
        <row r="307">
          <cell r="C307" t="str">
            <v>Kecepatan mundur</v>
          </cell>
          <cell r="G307" t="str">
            <v>Vr</v>
          </cell>
          <cell r="H307">
            <v>5</v>
          </cell>
          <cell r="I307" t="str">
            <v>Km/Jam</v>
          </cell>
          <cell r="L307" t="str">
            <v>E.</v>
          </cell>
          <cell r="N307" t="str">
            <v>OVERHEAD &amp; PROFIT</v>
          </cell>
          <cell r="P307">
            <v>10</v>
          </cell>
          <cell r="Q307" t="str">
            <v>%  x  D</v>
          </cell>
          <cell r="U307">
            <v>23593.34586154022</v>
          </cell>
        </row>
        <row r="308">
          <cell r="C308" t="str">
            <v>Kapasitas pisau</v>
          </cell>
          <cell r="G308" t="str">
            <v>q</v>
          </cell>
          <cell r="H308">
            <v>5.4</v>
          </cell>
          <cell r="I308" t="str">
            <v>M3</v>
          </cell>
          <cell r="L308" t="str">
            <v>F.</v>
          </cell>
          <cell r="N308" t="str">
            <v>HARGA SATUAN PEKERJAAN  ( D + E )</v>
          </cell>
          <cell r="U308">
            <v>259526.8044769424</v>
          </cell>
        </row>
        <row r="309">
          <cell r="A309" t="str">
            <v>`</v>
          </cell>
          <cell r="C309" t="str">
            <v>Faktor kemiringan (grade)</v>
          </cell>
          <cell r="G309" t="str">
            <v>Fm</v>
          </cell>
          <cell r="H309">
            <v>1</v>
          </cell>
          <cell r="L309" t="str">
            <v>Note: 1</v>
          </cell>
          <cell r="N309" t="str">
            <v>SATUAN dapat berdasarkan atas jam operasi untuk Tenaga Kerja dan Peralatan, volume dan/atau ukuran</v>
          </cell>
        </row>
        <row r="310">
          <cell r="N310" t="str">
            <v>berat untuk bahan-bahan.</v>
          </cell>
        </row>
        <row r="311">
          <cell r="L311">
            <v>2</v>
          </cell>
          <cell r="N311" t="str">
            <v>Kuantitas satuan adalah kuantitas setiap komponen untuk menyelesaikan satu satuan pekerjaan dari nomor</v>
          </cell>
        </row>
        <row r="312">
          <cell r="N312" t="str">
            <v>mata pembayaran.</v>
          </cell>
        </row>
        <row r="313">
          <cell r="L313">
            <v>3</v>
          </cell>
          <cell r="N313" t="str">
            <v>Biaya satuan untuk peralatan sudah termasuk bahan bakar, bahan habis dipakai dan operator.</v>
          </cell>
        </row>
        <row r="314">
          <cell r="L314">
            <v>4</v>
          </cell>
          <cell r="N314" t="str">
            <v>Biaya satuan sudah termasuk pengeluaran untuk seluruh pajak yang berkaitan (tetapi tidak termasuk PPN</v>
          </cell>
        </row>
        <row r="315">
          <cell r="J315" t="str">
            <v>Berlanjut ke halaman berikut</v>
          </cell>
          <cell r="N315" t="str">
            <v>yang dibayar dari kontrak) dan biaya-biaya lainnya.</v>
          </cell>
        </row>
        <row r="316">
          <cell r="A316" t="str">
            <v>ITEM PEMBAYARAN NO.</v>
          </cell>
          <cell r="D316" t="str">
            <v>:  3.1 (6)</v>
          </cell>
          <cell r="J316" t="str">
            <v>Analisa EI-313</v>
          </cell>
        </row>
        <row r="317">
          <cell r="A317" t="str">
            <v>JENIS PEKERJAAN</v>
          </cell>
          <cell r="D317" t="str">
            <v>:  Galian Struktur dengan Kedalaman 0 - 2 M</v>
          </cell>
        </row>
        <row r="318">
          <cell r="A318" t="str">
            <v>SATUAN PEMBAYARAN</v>
          </cell>
          <cell r="D318" t="str">
            <v>:  M3</v>
          </cell>
          <cell r="H318" t="str">
            <v xml:space="preserve">         URAIAN ANALISA HARGA SATUAN</v>
          </cell>
        </row>
        <row r="319">
          <cell r="J319" t="str">
            <v>Lanjutan</v>
          </cell>
        </row>
        <row r="321">
          <cell r="A321" t="str">
            <v>No.</v>
          </cell>
          <cell r="C321" t="str">
            <v>U R A I A N</v>
          </cell>
          <cell r="G321" t="str">
            <v>KODE</v>
          </cell>
          <cell r="H321" t="str">
            <v>KOEF.</v>
          </cell>
          <cell r="I321" t="str">
            <v>SATUAN</v>
          </cell>
          <cell r="J321" t="str">
            <v>KETERANGAN</v>
          </cell>
        </row>
        <row r="324">
          <cell r="C324" t="str">
            <v>Waktu Siklus</v>
          </cell>
          <cell r="G324" t="str">
            <v>Ts</v>
          </cell>
        </row>
        <row r="325">
          <cell r="C325" t="str">
            <v>- Waktu gusur</v>
          </cell>
          <cell r="D325" t="str">
            <v>= l / Vf</v>
          </cell>
          <cell r="G325" t="str">
            <v>T1</v>
          </cell>
          <cell r="H325">
            <v>1.6666666666666666E-2</v>
          </cell>
          <cell r="I325" t="str">
            <v>menit</v>
          </cell>
        </row>
        <row r="326">
          <cell r="C326" t="str">
            <v>- Waktu kembali</v>
          </cell>
          <cell r="D326" t="str">
            <v>= l / Vr</v>
          </cell>
          <cell r="G326" t="str">
            <v>T2</v>
          </cell>
          <cell r="H326">
            <v>0.01</v>
          </cell>
          <cell r="I326" t="str">
            <v>menit</v>
          </cell>
        </row>
        <row r="327">
          <cell r="C327" t="str">
            <v>- Waktu lain-lain</v>
          </cell>
          <cell r="G327" t="str">
            <v>T3</v>
          </cell>
          <cell r="H327">
            <v>8.0000000000000004E-4</v>
          </cell>
          <cell r="I327" t="str">
            <v>menit</v>
          </cell>
        </row>
        <row r="328">
          <cell r="G328" t="str">
            <v>Ts</v>
          </cell>
          <cell r="H328">
            <v>2.7466666666666664E-2</v>
          </cell>
          <cell r="I328" t="str">
            <v>menit</v>
          </cell>
        </row>
        <row r="330">
          <cell r="C330" t="str">
            <v>Kapasitas Produksi / Jam   =</v>
          </cell>
          <cell r="E330" t="str">
            <v>q x Fb x Fm x Fa x 60/Ts</v>
          </cell>
          <cell r="G330" t="str">
            <v>Q2</v>
          </cell>
          <cell r="H330">
            <v>9790.7766990291275</v>
          </cell>
          <cell r="I330" t="str">
            <v>M3</v>
          </cell>
        </row>
        <row r="333">
          <cell r="C333" t="str">
            <v>Koefisien Alat / M3</v>
          </cell>
          <cell r="D333" t="str">
            <v xml:space="preserve"> =  1  :  Q2</v>
          </cell>
          <cell r="G333" t="str">
            <v>(E04)</v>
          </cell>
          <cell r="H333">
            <v>1.0213694283306062E-4</v>
          </cell>
          <cell r="I333" t="str">
            <v>Jam</v>
          </cell>
        </row>
        <row r="336">
          <cell r="A336" t="str">
            <v>2.d.</v>
          </cell>
          <cell r="C336" t="str">
            <v>ALAT  BANTU</v>
          </cell>
        </row>
        <row r="337">
          <cell r="C337" t="str">
            <v>Diperlukan alat-alat bantu kecil</v>
          </cell>
          <cell r="J337" t="str">
            <v>Lump Sump</v>
          </cell>
        </row>
        <row r="338">
          <cell r="C338" t="str">
            <v>- Pacul</v>
          </cell>
          <cell r="D338" t="str">
            <v>=  2  buah</v>
          </cell>
        </row>
        <row r="339">
          <cell r="C339" t="str">
            <v>- Sekop</v>
          </cell>
          <cell r="D339" t="str">
            <v>=  2  buah</v>
          </cell>
        </row>
        <row r="342">
          <cell r="A342" t="str">
            <v xml:space="preserve">   3.</v>
          </cell>
          <cell r="C342" t="str">
            <v>TENAGA</v>
          </cell>
        </row>
        <row r="343">
          <cell r="C343" t="str">
            <v>Produksi menentukan : EXCAVATOR</v>
          </cell>
          <cell r="G343" t="str">
            <v>Q1</v>
          </cell>
          <cell r="H343">
            <v>31.493520000000004</v>
          </cell>
          <cell r="I343" t="str">
            <v>M3/Jam</v>
          </cell>
        </row>
        <row r="344">
          <cell r="C344" t="str">
            <v>Produksi Galian / hari  =  Tk x Q1</v>
          </cell>
          <cell r="G344" t="str">
            <v>Qt</v>
          </cell>
          <cell r="H344">
            <v>220.45464000000004</v>
          </cell>
          <cell r="I344" t="str">
            <v>M3</v>
          </cell>
        </row>
        <row r="345">
          <cell r="C345" t="str">
            <v>Kebutuhan tenaga :</v>
          </cell>
        </row>
        <row r="346">
          <cell r="D346" t="str">
            <v>- Pekerja</v>
          </cell>
          <cell r="G346" t="str">
            <v>P</v>
          </cell>
          <cell r="H346">
            <v>4</v>
          </cell>
          <cell r="I346" t="str">
            <v>orang</v>
          </cell>
        </row>
        <row r="347">
          <cell r="D347" t="str">
            <v>- Mandor</v>
          </cell>
          <cell r="G347" t="str">
            <v>M</v>
          </cell>
          <cell r="H347">
            <v>1</v>
          </cell>
          <cell r="I347" t="str">
            <v>orang</v>
          </cell>
        </row>
        <row r="349">
          <cell r="C349" t="str">
            <v>Koefisien tenaga / M3   :</v>
          </cell>
        </row>
        <row r="350">
          <cell r="D350" t="str">
            <v>- Pekerja</v>
          </cell>
          <cell r="E350" t="str">
            <v>= (Tk x P) : Qt</v>
          </cell>
          <cell r="G350" t="str">
            <v>(L01)</v>
          </cell>
          <cell r="H350">
            <v>0.12701025480797318</v>
          </cell>
          <cell r="I350" t="str">
            <v>Jam</v>
          </cell>
        </row>
        <row r="351">
          <cell r="D351" t="str">
            <v>- Mandor</v>
          </cell>
          <cell r="E351" t="str">
            <v>= (Tk x M) : Qt</v>
          </cell>
          <cell r="G351" t="str">
            <v>(L03)</v>
          </cell>
          <cell r="H351">
            <v>3.1752563701993294E-2</v>
          </cell>
          <cell r="I351" t="str">
            <v>Jam</v>
          </cell>
        </row>
        <row r="353">
          <cell r="A353" t="str">
            <v>4.</v>
          </cell>
          <cell r="C353" t="str">
            <v>HARGA DASAR SATUAN UPAH, BAHAN DAN ALAT</v>
          </cell>
        </row>
        <row r="354">
          <cell r="C354" t="str">
            <v>Lihat lampiran.</v>
          </cell>
        </row>
        <row r="356">
          <cell r="A356" t="str">
            <v>5.</v>
          </cell>
          <cell r="C356" t="str">
            <v>ANALISA HARGA SATUAN PEKERJAAN</v>
          </cell>
        </row>
        <row r="357">
          <cell r="C357" t="str">
            <v>Lihat perhitungan dalam FORMULIR STANDAR UNTUK</v>
          </cell>
        </row>
        <row r="358">
          <cell r="C358" t="str">
            <v>PEREKEMAN ANALISA MASING-MASING HARGA</v>
          </cell>
        </row>
        <row r="359">
          <cell r="C359" t="str">
            <v>SATUAN.</v>
          </cell>
        </row>
        <row r="360">
          <cell r="C360" t="str">
            <v>Didapat Harga Satuan Pekerjaan :</v>
          </cell>
        </row>
        <row r="362">
          <cell r="C362" t="str">
            <v xml:space="preserve">Rp.  </v>
          </cell>
          <cell r="D362">
            <v>259526.8044769424</v>
          </cell>
          <cell r="E362" t="str">
            <v xml:space="preserve"> / M3</v>
          </cell>
        </row>
        <row r="365">
          <cell r="A365" t="str">
            <v>6.</v>
          </cell>
          <cell r="C365" t="str">
            <v>WAKTU PELAKSANAAN YANG DIPERLUKAN</v>
          </cell>
        </row>
        <row r="366">
          <cell r="C366" t="str">
            <v>Masa Pelaksanaan :</v>
          </cell>
          <cell r="D366" t="str">
            <v>. . . . . . . . . . . .</v>
          </cell>
          <cell r="E366" t="str">
            <v>bulan</v>
          </cell>
        </row>
        <row r="368">
          <cell r="A368" t="str">
            <v>7.</v>
          </cell>
          <cell r="C368" t="str">
            <v>VOLUME PEKERJAAN YANG DIPERLUKAN</v>
          </cell>
        </row>
        <row r="369">
          <cell r="C369" t="str">
            <v>Volume pekerjaan  :</v>
          </cell>
          <cell r="D369">
            <v>102.06194798168002</v>
          </cell>
          <cell r="E369" t="str">
            <v>M3</v>
          </cell>
        </row>
        <row r="375">
          <cell r="A375" t="str">
            <v>ITEM PEMBAYARAN NO.</v>
          </cell>
          <cell r="D375" t="str">
            <v>:  3.1 (7)</v>
          </cell>
          <cell r="J375" t="str">
            <v>Analisa EI-314</v>
          </cell>
          <cell r="T375" t="str">
            <v>Analisa EI-314</v>
          </cell>
        </row>
        <row r="376">
          <cell r="A376" t="str">
            <v>JENIS PEKERJAAN</v>
          </cell>
          <cell r="D376" t="str">
            <v>:  Galian Struktur dengan Kedalaman 2 - 4 M</v>
          </cell>
        </row>
        <row r="377">
          <cell r="A377" t="str">
            <v>SATUAN PEMBAYARAN</v>
          </cell>
          <cell r="D377" t="str">
            <v>:  M3</v>
          </cell>
          <cell r="H377" t="str">
            <v xml:space="preserve">         URAIAN ANALISA HARGA SATUAN</v>
          </cell>
          <cell r="L377" t="str">
            <v>FORMULIR STANDAR UNTUK</v>
          </cell>
        </row>
        <row r="378">
          <cell r="L378" t="str">
            <v>PEREKAMAN ANALISA MASING-MASING HARGA SATUAN</v>
          </cell>
        </row>
        <row r="379">
          <cell r="L379" t="str">
            <v xml:space="preserve">                                                                                                            </v>
          </cell>
        </row>
        <row r="380">
          <cell r="A380" t="str">
            <v>No.</v>
          </cell>
          <cell r="C380" t="str">
            <v>U R A I A N</v>
          </cell>
          <cell r="G380" t="str">
            <v>KODE</v>
          </cell>
          <cell r="H380" t="str">
            <v>KOEF.</v>
          </cell>
          <cell r="I380" t="str">
            <v>SATUAN</v>
          </cell>
          <cell r="J380" t="str">
            <v>KETERANGAN</v>
          </cell>
        </row>
        <row r="382">
          <cell r="L382" t="str">
            <v>PROYEK</v>
          </cell>
          <cell r="O382" t="str">
            <v>:</v>
          </cell>
        </row>
        <row r="383">
          <cell r="A383" t="str">
            <v>I.</v>
          </cell>
          <cell r="C383" t="str">
            <v>ASUMSI</v>
          </cell>
          <cell r="L383" t="str">
            <v>No. PAKET KONTRAK</v>
          </cell>
          <cell r="O383" t="str">
            <v>:</v>
          </cell>
        </row>
        <row r="384">
          <cell r="A384">
            <v>1</v>
          </cell>
          <cell r="C384" t="str">
            <v>Pekerjaan dilakukan secara manual</v>
          </cell>
          <cell r="L384" t="str">
            <v>NAMA PAKET</v>
          </cell>
          <cell r="O384" t="str">
            <v>:</v>
          </cell>
        </row>
        <row r="385">
          <cell r="A385">
            <v>2</v>
          </cell>
          <cell r="C385" t="str">
            <v>Lokasi pekerjaan : sekitar jembatan</v>
          </cell>
          <cell r="L385" t="str">
            <v>PROP / KAB / KODYA</v>
          </cell>
          <cell r="O385" t="str">
            <v>:</v>
          </cell>
        </row>
        <row r="386">
          <cell r="A386">
            <v>3</v>
          </cell>
          <cell r="C386" t="str">
            <v>Kondisi Jalan   :  sedang / baik</v>
          </cell>
          <cell r="L386" t="str">
            <v>ITEM PEMBAYARAN NO.</v>
          </cell>
          <cell r="O386" t="str">
            <v>:  3.1 (7)</v>
          </cell>
          <cell r="R386" t="str">
            <v>PERKIRAAN VOL. PEK.</v>
          </cell>
          <cell r="T386" t="str">
            <v>:</v>
          </cell>
          <cell r="U386">
            <v>0</v>
          </cell>
        </row>
        <row r="387">
          <cell r="A387">
            <v>4</v>
          </cell>
          <cell r="C387" t="str">
            <v>Jam kerja efektif per-hari</v>
          </cell>
          <cell r="G387" t="str">
            <v>Tk</v>
          </cell>
          <cell r="H387">
            <v>7</v>
          </cell>
          <cell r="I387" t="str">
            <v>Jam</v>
          </cell>
          <cell r="L387" t="str">
            <v>JENIS PEKERJAAN</v>
          </cell>
          <cell r="O387" t="str">
            <v>:  Galian Struktur dengan Kedalaman 2 - 4 M</v>
          </cell>
          <cell r="R387" t="str">
            <v>TOTAL HARGA (Rp.)</v>
          </cell>
          <cell r="T387" t="str">
            <v>:</v>
          </cell>
          <cell r="U387">
            <v>0</v>
          </cell>
        </row>
        <row r="388">
          <cell r="A388">
            <v>5</v>
          </cell>
          <cell r="C388" t="str">
            <v>Faktor pengembangan bahan</v>
          </cell>
          <cell r="G388" t="str">
            <v>Fh</v>
          </cell>
          <cell r="H388">
            <v>1.2</v>
          </cell>
          <cell r="I388" t="str">
            <v>-</v>
          </cell>
          <cell r="L388" t="str">
            <v>SATUAN PEMBAYARAN</v>
          </cell>
          <cell r="O388" t="str">
            <v>:  M3</v>
          </cell>
          <cell r="R388" t="str">
            <v>% THD. BIAYA PROYEK</v>
          </cell>
          <cell r="T388" t="str">
            <v>:</v>
          </cell>
          <cell r="U388" t="e">
            <v>#DIV/0!</v>
          </cell>
        </row>
        <row r="389">
          <cell r="A389">
            <v>6</v>
          </cell>
          <cell r="C389" t="str">
            <v>Pengurugan kembali (backfill) untuk struktur</v>
          </cell>
          <cell r="G389" t="str">
            <v>Uk</v>
          </cell>
          <cell r="H389">
            <v>50</v>
          </cell>
          <cell r="I389" t="str">
            <v>%/M3</v>
          </cell>
        </row>
        <row r="391">
          <cell r="A391" t="str">
            <v>II.</v>
          </cell>
          <cell r="C391" t="str">
            <v>METHODE PELAKSANAAN</v>
          </cell>
          <cell r="Q391" t="str">
            <v>PERKIRAAN</v>
          </cell>
          <cell r="R391" t="str">
            <v>HARGA</v>
          </cell>
          <cell r="S391" t="str">
            <v>JUMLAH</v>
          </cell>
        </row>
        <row r="392">
          <cell r="A392">
            <v>1</v>
          </cell>
          <cell r="C392" t="str">
            <v>Tanah yang dipotong berada disekitar jembatan</v>
          </cell>
          <cell r="L392" t="str">
            <v>NO.</v>
          </cell>
          <cell r="N392" t="str">
            <v>KOMPONEN</v>
          </cell>
          <cell r="P392" t="str">
            <v>SATUAN</v>
          </cell>
          <cell r="Q392" t="str">
            <v>KUANTITAS</v>
          </cell>
          <cell r="R392" t="str">
            <v>SATUAN</v>
          </cell>
          <cell r="S392" t="str">
            <v>HARGA</v>
          </cell>
        </row>
        <row r="393">
          <cell r="A393">
            <v>2</v>
          </cell>
          <cell r="C393" t="str">
            <v>Penggalian dilakukan dengan menggunakan alat</v>
          </cell>
          <cell r="R393" t="str">
            <v>(Rp.)</v>
          </cell>
          <cell r="S393" t="str">
            <v>(Rp.)</v>
          </cell>
        </row>
        <row r="394">
          <cell r="C394" t="str">
            <v>Excavator</v>
          </cell>
        </row>
        <row r="395">
          <cell r="A395">
            <v>3</v>
          </cell>
          <cell r="C395" t="str">
            <v>Bulldozer mengangkut/mengusur hasil galian ke tempat</v>
          </cell>
        </row>
        <row r="396">
          <cell r="C396" t="str">
            <v>pembuangan di sekitar lokasi pekerjaan</v>
          </cell>
          <cell r="G396" t="str">
            <v>L</v>
          </cell>
          <cell r="H396">
            <v>0.1</v>
          </cell>
          <cell r="I396" t="str">
            <v>Km</v>
          </cell>
          <cell r="L396" t="str">
            <v>A.</v>
          </cell>
          <cell r="N396" t="str">
            <v>TENAGA</v>
          </cell>
        </row>
        <row r="398">
          <cell r="A398" t="str">
            <v>III.</v>
          </cell>
          <cell r="C398" t="str">
            <v>PEMAKAIAN BAHAN, ALAT DAN TENAGA</v>
          </cell>
          <cell r="L398" t="str">
            <v>1.</v>
          </cell>
          <cell r="N398" t="str">
            <v>Pekerja</v>
          </cell>
          <cell r="O398" t="str">
            <v>(L01)</v>
          </cell>
          <cell r="P398" t="str">
            <v>Jam</v>
          </cell>
          <cell r="Q398">
            <v>0.41685416962616839</v>
          </cell>
          <cell r="R398">
            <v>2857.14</v>
          </cell>
          <cell r="U398">
            <v>1191.0107222057106</v>
          </cell>
        </row>
        <row r="399">
          <cell r="L399" t="str">
            <v>2.</v>
          </cell>
          <cell r="N399" t="str">
            <v>Mandor</v>
          </cell>
          <cell r="O399" t="str">
            <v>(L03)</v>
          </cell>
          <cell r="P399" t="str">
            <v>Jam</v>
          </cell>
          <cell r="Q399">
            <v>4.1685416962616843E-2</v>
          </cell>
          <cell r="R399">
            <v>3214.29</v>
          </cell>
          <cell r="U399">
            <v>133.98901888876969</v>
          </cell>
        </row>
        <row r="400">
          <cell r="A400" t="str">
            <v xml:space="preserve">   1.</v>
          </cell>
          <cell r="C400" t="str">
            <v>BAHAN</v>
          </cell>
        </row>
        <row r="401">
          <cell r="C401" t="str">
            <v>- Urugan Pilihan (untuk backfill)</v>
          </cell>
          <cell r="E401" t="str">
            <v>= Uk x 1M3</v>
          </cell>
          <cell r="G401" t="str">
            <v>(EI-322)</v>
          </cell>
          <cell r="H401">
            <v>0.5</v>
          </cell>
          <cell r="I401" t="str">
            <v>M3</v>
          </cell>
        </row>
        <row r="402">
          <cell r="Q402" t="str">
            <v xml:space="preserve">JUMLAH HARGA TENAGA   </v>
          </cell>
          <cell r="U402">
            <v>1324.9997410944802</v>
          </cell>
        </row>
        <row r="403">
          <cell r="A403" t="str">
            <v xml:space="preserve">   2.</v>
          </cell>
          <cell r="C403" t="str">
            <v>ALAT</v>
          </cell>
        </row>
        <row r="404">
          <cell r="A404" t="str">
            <v xml:space="preserve">   2.a.</v>
          </cell>
          <cell r="C404" t="str">
            <v>EXCAVATOR</v>
          </cell>
          <cell r="G404" t="str">
            <v>(E10)</v>
          </cell>
          <cell r="L404" t="str">
            <v>B.</v>
          </cell>
          <cell r="N404" t="str">
            <v>BAHAN</v>
          </cell>
        </row>
        <row r="405">
          <cell r="C405" t="str">
            <v>Kapasitas Bucket</v>
          </cell>
          <cell r="G405" t="str">
            <v>V</v>
          </cell>
          <cell r="H405">
            <v>0.93</v>
          </cell>
          <cell r="I405" t="str">
            <v>M3</v>
          </cell>
        </row>
        <row r="406">
          <cell r="C406" t="str">
            <v>Faktor Bucket</v>
          </cell>
          <cell r="G406" t="str">
            <v>Fb</v>
          </cell>
          <cell r="H406">
            <v>0.9</v>
          </cell>
          <cell r="I406" t="str">
            <v>-</v>
          </cell>
          <cell r="L406" t="str">
            <v>1.</v>
          </cell>
          <cell r="N406" t="str">
            <v xml:space="preserve">Urugan Pilihan </v>
          </cell>
          <cell r="O406" t="str">
            <v>(EI-322)</v>
          </cell>
          <cell r="P406" t="str">
            <v>M3</v>
          </cell>
          <cell r="Q406">
            <v>0.5</v>
          </cell>
          <cell r="R406">
            <v>455558.60740011773</v>
          </cell>
          <cell r="U406">
            <v>227779.30370005887</v>
          </cell>
        </row>
        <row r="407">
          <cell r="C407" t="str">
            <v>Faktor  Efisiensi alat</v>
          </cell>
          <cell r="G407" t="str">
            <v>Fa</v>
          </cell>
          <cell r="H407">
            <v>0.83</v>
          </cell>
          <cell r="I407" t="str">
            <v>-</v>
          </cell>
        </row>
        <row r="408">
          <cell r="C408" t="str">
            <v>Faktor kedalaman</v>
          </cell>
          <cell r="G408" t="str">
            <v>Fd</v>
          </cell>
          <cell r="H408">
            <v>0.65</v>
          </cell>
          <cell r="I408" t="str">
            <v>-</v>
          </cell>
        </row>
        <row r="409">
          <cell r="C409" t="str">
            <v>Berat isi material</v>
          </cell>
          <cell r="G409" t="str">
            <v>Bim</v>
          </cell>
          <cell r="H409">
            <v>0.85</v>
          </cell>
          <cell r="I409" t="str">
            <v>-</v>
          </cell>
        </row>
        <row r="411">
          <cell r="C411" t="str">
            <v>Waktu siklus</v>
          </cell>
        </row>
        <row r="412">
          <cell r="C412" t="str">
            <v>- Menggali / memuat</v>
          </cell>
          <cell r="G412" t="str">
            <v>Te1</v>
          </cell>
          <cell r="H412">
            <v>0.55000000000000004</v>
          </cell>
          <cell r="I412" t="str">
            <v>menit</v>
          </cell>
          <cell r="Q412" t="str">
            <v xml:space="preserve">JUMLAH HARGA BAHAN   </v>
          </cell>
          <cell r="U412">
            <v>227779.30370005887</v>
          </cell>
        </row>
        <row r="413">
          <cell r="C413" t="str">
            <v>- Lain-lain</v>
          </cell>
          <cell r="G413" t="str">
            <v>Te2</v>
          </cell>
          <cell r="H413">
            <v>0.25</v>
          </cell>
          <cell r="I413" t="str">
            <v>menit</v>
          </cell>
        </row>
        <row r="414">
          <cell r="G414" t="str">
            <v>Te</v>
          </cell>
          <cell r="H414">
            <v>0.8</v>
          </cell>
          <cell r="I414" t="str">
            <v>menit</v>
          </cell>
          <cell r="L414" t="str">
            <v>C.</v>
          </cell>
          <cell r="N414" t="str">
            <v>PERALATAN</v>
          </cell>
        </row>
        <row r="415">
          <cell r="L415" t="str">
            <v>1.</v>
          </cell>
          <cell r="N415" t="str">
            <v>Excavator</v>
          </cell>
          <cell r="O415" t="str">
            <v>(E10)</v>
          </cell>
          <cell r="P415" t="str">
            <v>Jam</v>
          </cell>
          <cell r="Q415">
            <v>4.1685416962616836E-2</v>
          </cell>
          <cell r="R415">
            <v>238185.05650827778</v>
          </cell>
          <cell r="U415">
            <v>9928.8433948120128</v>
          </cell>
        </row>
        <row r="416">
          <cell r="L416" t="str">
            <v>2.</v>
          </cell>
          <cell r="N416" t="str">
            <v>Bulldozer</v>
          </cell>
          <cell r="O416" t="str">
            <v>(E04)</v>
          </cell>
          <cell r="P416" t="str">
            <v>Jam</v>
          </cell>
          <cell r="Q416">
            <v>1.0213694283306062E-4</v>
          </cell>
          <cell r="R416">
            <v>256721.09983229413</v>
          </cell>
          <cell r="U416">
            <v>26.220708297611473</v>
          </cell>
        </row>
        <row r="417">
          <cell r="C417" t="str">
            <v>Kap. Prod. / jam =</v>
          </cell>
          <cell r="D417" t="str">
            <v>V  x Fb x Fa x Fd x Bim x 60</v>
          </cell>
          <cell r="G417" t="str">
            <v>Q1</v>
          </cell>
          <cell r="H417">
            <v>23.989204687500003</v>
          </cell>
          <cell r="I417" t="str">
            <v>M3/Jam</v>
          </cell>
          <cell r="L417" t="str">
            <v>3.</v>
          </cell>
          <cell r="N417" t="str">
            <v>Alat  bantu</v>
          </cell>
          <cell r="P417" t="str">
            <v>Ls</v>
          </cell>
          <cell r="Q417">
            <v>1</v>
          </cell>
          <cell r="R417">
            <v>200</v>
          </cell>
          <cell r="U417">
            <v>200</v>
          </cell>
        </row>
        <row r="418">
          <cell r="D418" t="str">
            <v>Te x Fh</v>
          </cell>
        </row>
        <row r="420">
          <cell r="C420" t="str">
            <v>Koefisien Alat / M3</v>
          </cell>
          <cell r="D420" t="str">
            <v xml:space="preserve"> =  1  :  Q1</v>
          </cell>
          <cell r="G420" t="str">
            <v>(E10)</v>
          </cell>
          <cell r="H420">
            <v>4.1685416962616836E-2</v>
          </cell>
          <cell r="I420" t="str">
            <v>Jam</v>
          </cell>
        </row>
        <row r="423">
          <cell r="A423" t="str">
            <v>2.a.</v>
          </cell>
          <cell r="C423" t="str">
            <v>BULLDOZER</v>
          </cell>
          <cell r="G423" t="str">
            <v>(E04)</v>
          </cell>
        </row>
        <row r="424">
          <cell r="C424" t="str">
            <v>Faktor pisau (blade)</v>
          </cell>
          <cell r="G424" t="str">
            <v>Fb</v>
          </cell>
          <cell r="H424">
            <v>1</v>
          </cell>
          <cell r="I424" t="str">
            <v>-</v>
          </cell>
          <cell r="Q424" t="str">
            <v xml:space="preserve">JUMLAH HARGA PERALATAN   </v>
          </cell>
          <cell r="U424">
            <v>10155.064103109624</v>
          </cell>
        </row>
        <row r="425">
          <cell r="C425" t="str">
            <v>Faktor  efisiensi kerja</v>
          </cell>
          <cell r="G425" t="str">
            <v>Fa</v>
          </cell>
          <cell r="H425">
            <v>0.83</v>
          </cell>
          <cell r="I425" t="str">
            <v>-</v>
          </cell>
        </row>
        <row r="426">
          <cell r="C426" t="str">
            <v>Kecepatan mengupas</v>
          </cell>
          <cell r="G426" t="str">
            <v>Vf</v>
          </cell>
          <cell r="H426">
            <v>3</v>
          </cell>
          <cell r="I426" t="str">
            <v>Km/Jam</v>
          </cell>
          <cell r="L426" t="str">
            <v>D.</v>
          </cell>
          <cell r="N426" t="str">
            <v>JUMLAH HARGA TENAGA, BAHAN DAN PERALATAN  ( A + B + C )</v>
          </cell>
          <cell r="U426">
            <v>239259.36754426296</v>
          </cell>
        </row>
        <row r="427">
          <cell r="C427" t="str">
            <v>Kecepatan mundur</v>
          </cell>
          <cell r="G427" t="str">
            <v>Vr</v>
          </cell>
          <cell r="H427">
            <v>5</v>
          </cell>
          <cell r="I427" t="str">
            <v>Km/Jam</v>
          </cell>
          <cell r="L427" t="str">
            <v>E.</v>
          </cell>
          <cell r="N427" t="str">
            <v>OVERHEAD &amp; PROFIT</v>
          </cell>
          <cell r="P427">
            <v>10</v>
          </cell>
          <cell r="Q427" t="str">
            <v>%  x  D</v>
          </cell>
          <cell r="U427">
            <v>23925.936754426297</v>
          </cell>
        </row>
        <row r="428">
          <cell r="C428" t="str">
            <v>Kapasitas pisau</v>
          </cell>
          <cell r="G428" t="str">
            <v>q</v>
          </cell>
          <cell r="H428">
            <v>5.4</v>
          </cell>
          <cell r="I428" t="str">
            <v>M3</v>
          </cell>
          <cell r="L428" t="str">
            <v>F.</v>
          </cell>
          <cell r="N428" t="str">
            <v>HARGA SATUAN PEKERJAAN  ( D + E )</v>
          </cell>
          <cell r="U428">
            <v>263185.30429868924</v>
          </cell>
        </row>
        <row r="429">
          <cell r="A429" t="str">
            <v>`</v>
          </cell>
          <cell r="C429" t="str">
            <v>Faktor kemiringan (grade)</v>
          </cell>
          <cell r="G429" t="str">
            <v>Fm</v>
          </cell>
          <cell r="H429">
            <v>1</v>
          </cell>
          <cell r="L429" t="str">
            <v>Note: 1</v>
          </cell>
          <cell r="N429" t="str">
            <v>SATUAN dapat berdasarkan atas jam operasi untuk Tenaga Kerja dan Peralatan, volume dan/atau ukuran</v>
          </cell>
        </row>
        <row r="430">
          <cell r="N430" t="str">
            <v>berat untuk bahan-bahan.</v>
          </cell>
        </row>
        <row r="431">
          <cell r="L431">
            <v>2</v>
          </cell>
          <cell r="N431" t="str">
            <v>Kuantitas satuan adalah kuantitas setiap komponen untuk menyelesaikan satu satuan pekerjaan dari nomor</v>
          </cell>
        </row>
        <row r="432">
          <cell r="N432" t="str">
            <v>mata pembayaran.</v>
          </cell>
        </row>
        <row r="433">
          <cell r="L433">
            <v>3</v>
          </cell>
          <cell r="N433" t="str">
            <v>Biaya satuan untuk peralatan sudah termasuk bahan bakar, bahan habis dipakai dan operator.</v>
          </cell>
        </row>
        <row r="434">
          <cell r="L434">
            <v>4</v>
          </cell>
          <cell r="N434" t="str">
            <v>Biaya satuan sudah termasuk pengeluaran untuk seluruh pajak yang berkaitan (tetapi tidak termasuk PPN</v>
          </cell>
        </row>
        <row r="435">
          <cell r="J435" t="str">
            <v>Berlanjut ke halaman berikut</v>
          </cell>
          <cell r="N435" t="str">
            <v>yang dibayar dari kontrak) dan biaya-biaya lainnya.</v>
          </cell>
        </row>
        <row r="436">
          <cell r="A436" t="str">
            <v>ITEM PEMBAYARAN NO.</v>
          </cell>
          <cell r="D436" t="str">
            <v>:  3.1 (7)</v>
          </cell>
          <cell r="J436" t="str">
            <v>Analisa EI-314</v>
          </cell>
        </row>
        <row r="437">
          <cell r="A437" t="str">
            <v>JENIS PEKERJAAN</v>
          </cell>
          <cell r="D437" t="str">
            <v>:  Galian Struktur dengan Kedalaman 2 - 4 M</v>
          </cell>
        </row>
        <row r="438">
          <cell r="A438" t="str">
            <v>SATUAN PEMBAYARAN</v>
          </cell>
          <cell r="D438" t="str">
            <v>:  M3</v>
          </cell>
          <cell r="H438" t="str">
            <v xml:space="preserve">         URAIAN ANALISA HARGA SATUAN</v>
          </cell>
        </row>
        <row r="439">
          <cell r="J439" t="str">
            <v>Lanjutan</v>
          </cell>
        </row>
        <row r="441">
          <cell r="A441" t="str">
            <v>No.</v>
          </cell>
          <cell r="C441" t="str">
            <v>U R A I A N</v>
          </cell>
          <cell r="G441" t="str">
            <v>KODE</v>
          </cell>
          <cell r="H441" t="str">
            <v>KOEF.</v>
          </cell>
          <cell r="I441" t="str">
            <v>SATUAN</v>
          </cell>
          <cell r="J441" t="str">
            <v>KETERANGAN</v>
          </cell>
        </row>
        <row r="444">
          <cell r="C444" t="str">
            <v>Waktu Siklus</v>
          </cell>
        </row>
        <row r="445">
          <cell r="C445" t="str">
            <v>- Waktu gusur</v>
          </cell>
          <cell r="D445" t="str">
            <v>= l / Vf</v>
          </cell>
          <cell r="G445" t="str">
            <v>T1</v>
          </cell>
          <cell r="H445">
            <v>1.6666666666666666E-2</v>
          </cell>
          <cell r="I445" t="str">
            <v>menit</v>
          </cell>
        </row>
        <row r="446">
          <cell r="C446" t="str">
            <v>- Waktu kembali</v>
          </cell>
          <cell r="D446" t="str">
            <v>= l / Vr</v>
          </cell>
          <cell r="G446" t="str">
            <v>T2</v>
          </cell>
          <cell r="H446">
            <v>0.01</v>
          </cell>
          <cell r="I446" t="str">
            <v>menit</v>
          </cell>
        </row>
        <row r="447">
          <cell r="C447" t="str">
            <v>- Waktu lain-lain</v>
          </cell>
          <cell r="G447" t="str">
            <v>T3</v>
          </cell>
          <cell r="H447">
            <v>8.0000000000000004E-4</v>
          </cell>
          <cell r="I447" t="str">
            <v>menit</v>
          </cell>
        </row>
        <row r="448">
          <cell r="G448" t="str">
            <v>Ts</v>
          </cell>
          <cell r="H448">
            <v>2.7466666666666664E-2</v>
          </cell>
          <cell r="I448" t="str">
            <v>menit</v>
          </cell>
        </row>
        <row r="450">
          <cell r="C450" t="str">
            <v>Kapasitas Produksi / Jam   =</v>
          </cell>
          <cell r="E450" t="str">
            <v>q x Fb x Fm x Fa x 60/Ts</v>
          </cell>
          <cell r="G450" t="str">
            <v>Q2</v>
          </cell>
          <cell r="H450">
            <v>9790.7766990291275</v>
          </cell>
          <cell r="I450" t="str">
            <v>M3</v>
          </cell>
        </row>
        <row r="453">
          <cell r="C453" t="str">
            <v>Koefisien Alat / M3</v>
          </cell>
          <cell r="D453" t="str">
            <v xml:space="preserve"> =  1  :  Q2</v>
          </cell>
          <cell r="G453" t="str">
            <v>(E04)</v>
          </cell>
          <cell r="H453">
            <v>1.0213694283306062E-4</v>
          </cell>
          <cell r="I453" t="str">
            <v>Jam</v>
          </cell>
        </row>
        <row r="456">
          <cell r="A456" t="str">
            <v>2.d.</v>
          </cell>
          <cell r="C456" t="str">
            <v>ALAT  BANTU</v>
          </cell>
        </row>
        <row r="457">
          <cell r="C457" t="str">
            <v>Diperlukan alat-alat bantu kecil</v>
          </cell>
          <cell r="J457" t="str">
            <v>Lump Sump</v>
          </cell>
        </row>
        <row r="458">
          <cell r="C458" t="str">
            <v>- Pacul</v>
          </cell>
          <cell r="D458" t="str">
            <v>=  2  buah</v>
          </cell>
        </row>
        <row r="459">
          <cell r="C459" t="str">
            <v>- Sekop</v>
          </cell>
          <cell r="D459" t="str">
            <v>=  2  buah</v>
          </cell>
        </row>
        <row r="462">
          <cell r="A462" t="str">
            <v xml:space="preserve">   3.</v>
          </cell>
          <cell r="C462" t="str">
            <v>TENAGA</v>
          </cell>
        </row>
        <row r="463">
          <cell r="C463" t="str">
            <v>Produksi menentukan : EXCAVATOR</v>
          </cell>
          <cell r="G463" t="str">
            <v>Q1</v>
          </cell>
          <cell r="H463">
            <v>23.989204687500003</v>
          </cell>
          <cell r="I463" t="str">
            <v>M3/Jam</v>
          </cell>
        </row>
        <row r="464">
          <cell r="C464" t="str">
            <v>Produksi Galian / hari  =  Tk x Q1</v>
          </cell>
          <cell r="G464" t="str">
            <v>Qt</v>
          </cell>
          <cell r="H464">
            <v>167.92443281250002</v>
          </cell>
          <cell r="I464" t="str">
            <v>M3</v>
          </cell>
        </row>
        <row r="465">
          <cell r="C465" t="str">
            <v>Kebutuhan tenaga :</v>
          </cell>
        </row>
        <row r="466">
          <cell r="D466" t="str">
            <v>- Pekerja</v>
          </cell>
          <cell r="G466" t="str">
            <v>P</v>
          </cell>
          <cell r="H466">
            <v>10</v>
          </cell>
          <cell r="I466" t="str">
            <v>orang</v>
          </cell>
        </row>
        <row r="467">
          <cell r="D467" t="str">
            <v>- Mandor</v>
          </cell>
          <cell r="G467" t="str">
            <v>M</v>
          </cell>
          <cell r="H467">
            <v>1</v>
          </cell>
          <cell r="I467" t="str">
            <v>orang</v>
          </cell>
        </row>
        <row r="469">
          <cell r="C469" t="str">
            <v>Koefisien tenaga / M3   :</v>
          </cell>
        </row>
        <row r="470">
          <cell r="D470" t="str">
            <v>- Pekerja</v>
          </cell>
          <cell r="E470" t="str">
            <v>= (Tk x P) : Qt</v>
          </cell>
          <cell r="G470" t="str">
            <v>(L01)</v>
          </cell>
          <cell r="H470">
            <v>0.41685416962616839</v>
          </cell>
          <cell r="I470" t="str">
            <v>Jam</v>
          </cell>
        </row>
        <row r="471">
          <cell r="D471" t="str">
            <v>- Mandor</v>
          </cell>
          <cell r="E471" t="str">
            <v>= (Tk x M) : Qt</v>
          </cell>
          <cell r="G471" t="str">
            <v>(L03)</v>
          </cell>
          <cell r="H471">
            <v>4.1685416962616843E-2</v>
          </cell>
          <cell r="I471" t="str">
            <v>Jam</v>
          </cell>
        </row>
        <row r="473">
          <cell r="A473" t="str">
            <v>4.</v>
          </cell>
          <cell r="C473" t="str">
            <v>HARGA DASAR SATUAN UPAH, BAHAN DAN ALAT</v>
          </cell>
        </row>
        <row r="474">
          <cell r="C474" t="str">
            <v>Lihat lampiran.</v>
          </cell>
        </row>
        <row r="476">
          <cell r="A476" t="str">
            <v>5.</v>
          </cell>
          <cell r="C476" t="str">
            <v>ANALISA HARGA SATUAN PEKERJAAN</v>
          </cell>
        </row>
        <row r="477">
          <cell r="C477" t="str">
            <v>Lihat perhitungan dalam FORMULIR STANDAR UNTUK</v>
          </cell>
        </row>
        <row r="478">
          <cell r="C478" t="str">
            <v>PEREKEMAN ANALISA MASING-MASING HARGA</v>
          </cell>
        </row>
        <row r="479">
          <cell r="C479" t="str">
            <v>SATUAN.</v>
          </cell>
        </row>
        <row r="480">
          <cell r="C480" t="str">
            <v>Didapat Harga Satuan Pekerjaan :</v>
          </cell>
        </row>
        <row r="482">
          <cell r="C482" t="str">
            <v xml:space="preserve">Rp.  </v>
          </cell>
          <cell r="D482">
            <v>263185.30429868924</v>
          </cell>
          <cell r="E482" t="str">
            <v xml:space="preserve"> / M3</v>
          </cell>
        </row>
        <row r="485">
          <cell r="A485" t="str">
            <v>6.</v>
          </cell>
          <cell r="C485" t="str">
            <v>WAKTU PELAKSANAAN YANG DIPERLUKAN</v>
          </cell>
        </row>
        <row r="486">
          <cell r="C486" t="str">
            <v>Masa Pelaksanaan :</v>
          </cell>
          <cell r="D486" t="str">
            <v>. . . . . . . . . . . .</v>
          </cell>
          <cell r="E486" t="str">
            <v>bulan</v>
          </cell>
        </row>
        <row r="488">
          <cell r="A488" t="str">
            <v>7.</v>
          </cell>
          <cell r="C488" t="str">
            <v>VOLUME PEKERJAAN YANG DIPERLUKAN</v>
          </cell>
        </row>
        <row r="489">
          <cell r="C489" t="str">
            <v>Volume pekerjaan  :</v>
          </cell>
          <cell r="D489">
            <v>133.98901888876969</v>
          </cell>
          <cell r="E489" t="str">
            <v>M3</v>
          </cell>
        </row>
        <row r="1766">
          <cell r="C1766" t="str">
            <v>Faktor efisiensi alat</v>
          </cell>
          <cell r="G1766" t="str">
            <v>Fa</v>
          </cell>
          <cell r="H1766">
            <v>0.83</v>
          </cell>
          <cell r="I1766" t="str">
            <v>-</v>
          </cell>
        </row>
        <row r="1768">
          <cell r="C1768" t="str">
            <v>Kapasitas Prod./Jam   =</v>
          </cell>
          <cell r="D1768" t="str">
            <v>(v x 1000) x b x t x Fa</v>
          </cell>
          <cell r="G1768" t="str">
            <v>Q4</v>
          </cell>
          <cell r="H1768">
            <v>104.58</v>
          </cell>
          <cell r="I1768" t="str">
            <v>M3</v>
          </cell>
        </row>
        <row r="1769">
          <cell r="D1769" t="str">
            <v>n</v>
          </cell>
        </row>
        <row r="1771">
          <cell r="C1771" t="str">
            <v>Koefisien Alat / m3</v>
          </cell>
          <cell r="D1771" t="str">
            <v xml:space="preserve"> =  1  :  Q4</v>
          </cell>
          <cell r="G1771" t="str">
            <v>(E19)</v>
          </cell>
          <cell r="H1771">
            <v>9.5620577548288389E-3</v>
          </cell>
          <cell r="I1771" t="str">
            <v>Jam</v>
          </cell>
        </row>
        <row r="1774">
          <cell r="A1774" t="str">
            <v>2.e.</v>
          </cell>
          <cell r="C1774" t="str">
            <v>WATER TANK TRUCK</v>
          </cell>
          <cell r="G1774" t="str">
            <v>(E23)</v>
          </cell>
        </row>
        <row r="1775">
          <cell r="C1775" t="str">
            <v>Volume tangki air</v>
          </cell>
          <cell r="G1775" t="str">
            <v>V</v>
          </cell>
          <cell r="H1775">
            <v>4</v>
          </cell>
          <cell r="I1775" t="str">
            <v>M3</v>
          </cell>
        </row>
        <row r="1776">
          <cell r="C1776" t="str">
            <v>Kebutuhan air / M3 material padat</v>
          </cell>
          <cell r="G1776" t="str">
            <v>Wc</v>
          </cell>
          <cell r="H1776">
            <v>7.0000000000000007E-2</v>
          </cell>
          <cell r="I1776" t="str">
            <v>M3</v>
          </cell>
        </row>
        <row r="1777">
          <cell r="C1777" t="str">
            <v>Pengisian Tangki / jam</v>
          </cell>
          <cell r="G1777" t="str">
            <v>n</v>
          </cell>
          <cell r="H1777">
            <v>3</v>
          </cell>
          <cell r="I1777" t="str">
            <v>kali</v>
          </cell>
        </row>
        <row r="1778">
          <cell r="C1778" t="str">
            <v>Faktor efisiensi alat</v>
          </cell>
          <cell r="G1778" t="str">
            <v>Fa</v>
          </cell>
          <cell r="H1778">
            <v>0.83</v>
          </cell>
          <cell r="I1778" t="str">
            <v>-</v>
          </cell>
        </row>
        <row r="1780">
          <cell r="C1780" t="str">
            <v>Kapasitas Produksi / Jam   =</v>
          </cell>
          <cell r="E1780" t="str">
            <v>V  x  n x Fa</v>
          </cell>
          <cell r="G1780" t="str">
            <v>Q5</v>
          </cell>
          <cell r="H1780">
            <v>142.28571428571425</v>
          </cell>
          <cell r="I1780" t="str">
            <v>M3</v>
          </cell>
        </row>
        <row r="1781">
          <cell r="E1781" t="str">
            <v xml:space="preserve">     Wc</v>
          </cell>
        </row>
        <row r="1783">
          <cell r="C1783" t="str">
            <v>Koefisien Alat / m3</v>
          </cell>
          <cell r="D1783" t="str">
            <v xml:space="preserve"> =  1  :  Q5</v>
          </cell>
          <cell r="G1783" t="str">
            <v>(E23)</v>
          </cell>
          <cell r="H1783">
            <v>7.0281124497991983E-3</v>
          </cell>
          <cell r="I1783" t="str">
            <v>Jam</v>
          </cell>
        </row>
        <row r="1785">
          <cell r="A1785" t="str">
            <v>2.f.</v>
          </cell>
          <cell r="C1785" t="str">
            <v>ALAT  BANTU</v>
          </cell>
        </row>
        <row r="1786">
          <cell r="C1786" t="str">
            <v>Diperlukan alat-alat bantu kecil</v>
          </cell>
          <cell r="J1786" t="str">
            <v>Lump Sump</v>
          </cell>
        </row>
        <row r="1787">
          <cell r="C1787" t="str">
            <v>- Sekop    =         3   buah</v>
          </cell>
        </row>
        <row r="1791">
          <cell r="J1791" t="str">
            <v>Berlanjut ke halaman berikut</v>
          </cell>
        </row>
        <row r="1792">
          <cell r="A1792" t="str">
            <v>ITEM PEMBAYARAN NO.</v>
          </cell>
          <cell r="D1792" t="str">
            <v>:  3.2 (3)</v>
          </cell>
          <cell r="J1792" t="str">
            <v>Analisa EI-323</v>
          </cell>
        </row>
        <row r="1793">
          <cell r="A1793" t="str">
            <v>JENIS PEKERJAAN</v>
          </cell>
          <cell r="D1793" t="str">
            <v>:  Timbunan Pilihan</v>
          </cell>
        </row>
        <row r="1794">
          <cell r="A1794" t="str">
            <v>SATUAN PEMBAYARAN</v>
          </cell>
          <cell r="D1794" t="str">
            <v>:  M3</v>
          </cell>
          <cell r="H1794" t="str">
            <v xml:space="preserve">         URAIAN ANALISA HARGA SATUAN</v>
          </cell>
        </row>
        <row r="1795">
          <cell r="J1795" t="str">
            <v>Lanjutan</v>
          </cell>
        </row>
        <row r="1797">
          <cell r="A1797" t="str">
            <v>No.</v>
          </cell>
          <cell r="C1797" t="str">
            <v>U R A I A N</v>
          </cell>
          <cell r="G1797" t="str">
            <v>KODE</v>
          </cell>
          <cell r="H1797" t="str">
            <v>KOEF.</v>
          </cell>
          <cell r="I1797" t="str">
            <v>SATUAN</v>
          </cell>
          <cell r="J1797" t="str">
            <v>KETERANGAN</v>
          </cell>
        </row>
        <row r="1800">
          <cell r="A1800" t="str">
            <v xml:space="preserve">   3.</v>
          </cell>
          <cell r="C1800" t="str">
            <v>TENAGA</v>
          </cell>
        </row>
        <row r="1801">
          <cell r="C1801" t="str">
            <v>Produksi menentukan : DUMP TRUCK</v>
          </cell>
          <cell r="G1801" t="str">
            <v>Q1</v>
          </cell>
          <cell r="H1801">
            <v>0.40310830500242839</v>
          </cell>
          <cell r="I1801" t="str">
            <v>M3/Jam</v>
          </cell>
        </row>
        <row r="1802">
          <cell r="C1802" t="str">
            <v>Produksi Timbunan / hari  =  Tk x Q1</v>
          </cell>
          <cell r="G1802" t="str">
            <v>Qt</v>
          </cell>
          <cell r="H1802">
            <v>2.8217581350169989</v>
          </cell>
          <cell r="I1802" t="str">
            <v>M3</v>
          </cell>
        </row>
        <row r="1803">
          <cell r="C1803" t="str">
            <v>Kebutuhan tenaga :</v>
          </cell>
        </row>
        <row r="1804">
          <cell r="D1804" t="str">
            <v>- Pekerja</v>
          </cell>
          <cell r="G1804" t="str">
            <v>P</v>
          </cell>
          <cell r="H1804">
            <v>4</v>
          </cell>
          <cell r="I1804" t="str">
            <v>orang</v>
          </cell>
        </row>
        <row r="1805">
          <cell r="D1805" t="str">
            <v>- Mandor</v>
          </cell>
          <cell r="G1805" t="str">
            <v>M</v>
          </cell>
          <cell r="H1805">
            <v>1</v>
          </cell>
          <cell r="I1805" t="str">
            <v>orang</v>
          </cell>
        </row>
        <row r="1808">
          <cell r="C1808" t="str">
            <v>Koefisien tenaga / M3   :</v>
          </cell>
        </row>
        <row r="1809">
          <cell r="D1809" t="str">
            <v>- Pekerja</v>
          </cell>
          <cell r="E1809" t="str">
            <v>= (Tk x P) : Qt</v>
          </cell>
          <cell r="G1809" t="str">
            <v>(L01)</v>
          </cell>
          <cell r="H1809">
            <v>9.9228915662650596</v>
          </cell>
          <cell r="I1809" t="str">
            <v>Jam</v>
          </cell>
        </row>
        <row r="1810">
          <cell r="D1810" t="str">
            <v>- Mandor</v>
          </cell>
          <cell r="E1810" t="str">
            <v>= (Tk x M) : Qt</v>
          </cell>
          <cell r="G1810" t="str">
            <v>(L03)</v>
          </cell>
          <cell r="H1810">
            <v>2.4807228915662649</v>
          </cell>
          <cell r="I1810" t="str">
            <v>Jam</v>
          </cell>
        </row>
        <row r="1813">
          <cell r="A1813" t="str">
            <v>4.</v>
          </cell>
          <cell r="C1813" t="str">
            <v>HARGA DASAR SATUAN UPAH, BAHAN DAN ALAT</v>
          </cell>
        </row>
        <row r="1814">
          <cell r="C1814" t="str">
            <v>Lihat lampiran.</v>
          </cell>
        </row>
        <row r="1817">
          <cell r="A1817" t="str">
            <v>5.</v>
          </cell>
          <cell r="C1817" t="str">
            <v>ANALISA HARGA SATUAN PEKERJAAN</v>
          </cell>
        </row>
        <row r="1818">
          <cell r="C1818" t="str">
            <v>Lihat perhitungan dalam FORMULIR STANDAR UNTUK</v>
          </cell>
        </row>
        <row r="1819">
          <cell r="C1819" t="str">
            <v>PEREKEMAN ANALISA MASING-MASING HARGA</v>
          </cell>
        </row>
        <row r="1820">
          <cell r="C1820" t="str">
            <v>SATUAN.</v>
          </cell>
        </row>
        <row r="1821">
          <cell r="C1821" t="str">
            <v>Didapat Harga Satuan Pekerjaan :</v>
          </cell>
        </row>
        <row r="1823">
          <cell r="C1823" t="str">
            <v xml:space="preserve">Rp.  </v>
          </cell>
          <cell r="D1823">
            <v>501114.46814012952</v>
          </cell>
          <cell r="E1823" t="str">
            <v xml:space="preserve"> / M3.</v>
          </cell>
        </row>
        <row r="1826">
          <cell r="A1826" t="str">
            <v>6.</v>
          </cell>
          <cell r="C1826" t="str">
            <v>WAKTU PELAKSANAAN YANG DIPERLUKAN</v>
          </cell>
        </row>
        <row r="1827">
          <cell r="C1827" t="str">
            <v>Masa Pelaksanaan :</v>
          </cell>
          <cell r="D1827" t="str">
            <v>. . . . . . . . . . . .</v>
          </cell>
          <cell r="E1827" t="str">
            <v>bulan</v>
          </cell>
        </row>
        <row r="1829">
          <cell r="A1829" t="str">
            <v>7.</v>
          </cell>
          <cell r="C1829" t="str">
            <v>VOLUME PEKERJAAN YANG DIPERLUKAN</v>
          </cell>
        </row>
        <row r="1830">
          <cell r="C1830" t="str">
            <v>Volume pekerjaan  :</v>
          </cell>
          <cell r="D1830">
            <v>1</v>
          </cell>
          <cell r="E1830" t="str">
            <v>M3</v>
          </cell>
        </row>
        <row r="1851">
          <cell r="A1851" t="str">
            <v>ITEM PEMBAYARAN NO.</v>
          </cell>
          <cell r="D1851" t="str">
            <v>:  3.2 (4)</v>
          </cell>
          <cell r="J1851" t="str">
            <v>Analisa EI-324</v>
          </cell>
        </row>
        <row r="1852">
          <cell r="A1852" t="str">
            <v>JENIS PEKERJAAN</v>
          </cell>
          <cell r="D1852" t="str">
            <v>:  Timb. Pilihan Di Atas Tnh. Rawa</v>
          </cell>
        </row>
        <row r="1853">
          <cell r="A1853" t="str">
            <v>SATUAN PEMBAYARAN</v>
          </cell>
          <cell r="D1853" t="str">
            <v>:  M3</v>
          </cell>
          <cell r="H1853" t="str">
            <v xml:space="preserve">         URAIAN ANALISA HARGA SATUAN</v>
          </cell>
        </row>
        <row r="1856">
          <cell r="A1856" t="str">
            <v>No.</v>
          </cell>
          <cell r="C1856" t="str">
            <v>U R A I A N</v>
          </cell>
          <cell r="G1856" t="str">
            <v>KODE</v>
          </cell>
          <cell r="H1856" t="str">
            <v>KOEF.</v>
          </cell>
          <cell r="I1856" t="str">
            <v>SATUAN</v>
          </cell>
          <cell r="J1856" t="str">
            <v>KETERANGAN</v>
          </cell>
        </row>
        <row r="1859">
          <cell r="A1859" t="str">
            <v>I.</v>
          </cell>
          <cell r="C1859" t="str">
            <v>ASUMSI</v>
          </cell>
        </row>
        <row r="1860">
          <cell r="A1860">
            <v>1</v>
          </cell>
          <cell r="C1860" t="str">
            <v>Pekerjaan dilakukan secara mekanis</v>
          </cell>
        </row>
        <row r="1861">
          <cell r="A1861">
            <v>2</v>
          </cell>
          <cell r="C1861" t="str">
            <v>Lokasi pekerjaan : di atas tanah rawa</v>
          </cell>
        </row>
        <row r="1862">
          <cell r="A1862">
            <v>3</v>
          </cell>
          <cell r="C1862" t="str">
            <v>Kondisi Jalan   :  sedang / baik</v>
          </cell>
        </row>
        <row r="1863">
          <cell r="A1863">
            <v>4</v>
          </cell>
          <cell r="C1863" t="str">
            <v>Jam kerja efektif per-hari</v>
          </cell>
          <cell r="G1863" t="str">
            <v>Tk</v>
          </cell>
          <cell r="H1863">
            <v>7</v>
          </cell>
          <cell r="I1863" t="str">
            <v>Jam</v>
          </cell>
        </row>
        <row r="1864">
          <cell r="A1864">
            <v>5</v>
          </cell>
          <cell r="C1864" t="str">
            <v>Faktor pengembangan bahan</v>
          </cell>
          <cell r="G1864" t="str">
            <v>Fk</v>
          </cell>
          <cell r="H1864">
            <v>1.2</v>
          </cell>
          <cell r="I1864" t="str">
            <v>-</v>
          </cell>
        </row>
        <row r="1867">
          <cell r="A1867" t="str">
            <v>II.</v>
          </cell>
          <cell r="C1867" t="str">
            <v>URUTAN KERJA</v>
          </cell>
        </row>
        <row r="1869">
          <cell r="A1869">
            <v>1</v>
          </cell>
          <cell r="C1869" t="str">
            <v>Whell Loader memuat ke dalam Dump Truck</v>
          </cell>
        </row>
        <row r="1870">
          <cell r="A1870">
            <v>2</v>
          </cell>
          <cell r="C1870" t="str">
            <v>Dump Truck mengangkut material pilihan</v>
          </cell>
        </row>
        <row r="1871">
          <cell r="C1871" t="str">
            <v>ke lapangan dimana : jarak quari ke lapangan</v>
          </cell>
          <cell r="G1871" t="str">
            <v>L</v>
          </cell>
          <cell r="H1871">
            <v>10</v>
          </cell>
          <cell r="I1871" t="str">
            <v>Km</v>
          </cell>
        </row>
        <row r="1872">
          <cell r="A1872">
            <v>3</v>
          </cell>
          <cell r="C1872" t="str">
            <v>Dump Truck menuang material pilihan di lokasi rawa</v>
          </cell>
        </row>
        <row r="1873">
          <cell r="C1873" t="str">
            <v>yang telah ditetapkan mulai dari tepian rawa hingga</v>
          </cell>
        </row>
        <row r="1874">
          <cell r="C1874" t="str">
            <v>permukaan timbunan mencapai permukaan air rawa.</v>
          </cell>
        </row>
        <row r="1875">
          <cell r="A1875">
            <v>4</v>
          </cell>
          <cell r="C1875" t="str">
            <v>Sekelompok pekerja merapikan timbunan</v>
          </cell>
        </row>
        <row r="1876">
          <cell r="A1876">
            <v>5</v>
          </cell>
          <cell r="C1876" t="str">
            <v>Geotekstil atau batangan kayu (bila diperlukan)</v>
          </cell>
        </row>
        <row r="1877">
          <cell r="C1877" t="str">
            <v>dianggap telah terpasang</v>
          </cell>
        </row>
        <row r="1879">
          <cell r="A1879" t="str">
            <v>III.</v>
          </cell>
          <cell r="C1879" t="str">
            <v>PEMAKAIAN BAHAN, ALAT DAN TENAGA</v>
          </cell>
        </row>
        <row r="1880">
          <cell r="A1880" t="str">
            <v xml:space="preserve">   1.</v>
          </cell>
          <cell r="C1880" t="str">
            <v>BAHAN</v>
          </cell>
        </row>
        <row r="1881">
          <cell r="A1881" t="str">
            <v>1.a.</v>
          </cell>
          <cell r="C1881" t="str">
            <v>Bahan pilihan</v>
          </cell>
          <cell r="G1881" t="str">
            <v>(M09)</v>
          </cell>
          <cell r="H1881">
            <v>1</v>
          </cell>
          <cell r="I1881" t="str">
            <v>M3</v>
          </cell>
        </row>
        <row r="1883">
          <cell r="A1883" t="str">
            <v xml:space="preserve">   2.</v>
          </cell>
          <cell r="C1883" t="str">
            <v>ALAT</v>
          </cell>
        </row>
        <row r="1885">
          <cell r="A1885" t="str">
            <v xml:space="preserve">   2.a.</v>
          </cell>
          <cell r="C1885" t="str">
            <v>DUMP TRUCK</v>
          </cell>
          <cell r="G1885" t="str">
            <v>(E09)</v>
          </cell>
        </row>
        <row r="1886">
          <cell r="C1886" t="str">
            <v>Kapasitas bak</v>
          </cell>
          <cell r="G1886" t="str">
            <v>V</v>
          </cell>
          <cell r="H1886">
            <v>1.9444444444444444</v>
          </cell>
          <cell r="I1886" t="str">
            <v>M3</v>
          </cell>
        </row>
        <row r="1887">
          <cell r="C1887" t="str">
            <v>Faktor  efisiensi alat</v>
          </cell>
          <cell r="G1887" t="str">
            <v>Fa</v>
          </cell>
          <cell r="H1887">
            <v>0.83</v>
          </cell>
          <cell r="I1887" t="str">
            <v>-</v>
          </cell>
          <cell r="Q1887" t="str">
            <v xml:space="preserve">JUMLAH HARGA BAHAN   </v>
          </cell>
          <cell r="U1887">
            <v>25000</v>
          </cell>
        </row>
        <row r="1888">
          <cell r="C1888" t="str">
            <v>Kecepatan rata-rata bermuatan</v>
          </cell>
          <cell r="G1888" t="str">
            <v>v1</v>
          </cell>
          <cell r="H1888">
            <v>45</v>
          </cell>
          <cell r="I1888" t="str">
            <v>KM/Jam</v>
          </cell>
        </row>
        <row r="1889">
          <cell r="C1889" t="str">
            <v>Kecepatan rata-rata kosong</v>
          </cell>
          <cell r="G1889" t="str">
            <v>v2</v>
          </cell>
          <cell r="H1889">
            <v>60</v>
          </cell>
          <cell r="I1889" t="str">
            <v>KM/Jam</v>
          </cell>
          <cell r="L1889" t="str">
            <v>C.</v>
          </cell>
          <cell r="N1889" t="str">
            <v>PERALATAN</v>
          </cell>
        </row>
        <row r="1890">
          <cell r="C1890" t="str">
            <v>Waktusiklus :</v>
          </cell>
          <cell r="G1890" t="str">
            <v>Ts2</v>
          </cell>
          <cell r="L1890" t="str">
            <v>1.</v>
          </cell>
          <cell r="N1890" t="str">
            <v>Dump Truck</v>
          </cell>
          <cell r="O1890" t="str">
            <v>(E08)</v>
          </cell>
          <cell r="P1890" t="str">
            <v>Jam</v>
          </cell>
          <cell r="Q1890">
            <v>0.27194492254733216</v>
          </cell>
          <cell r="R1890">
            <v>153645.58193291764</v>
          </cell>
          <cell r="U1890">
            <v>41783.135878487068</v>
          </cell>
        </row>
        <row r="1891">
          <cell r="C1891" t="str">
            <v>-  Waktu tempuh isi   = (L : v1) x 60</v>
          </cell>
          <cell r="G1891" t="str">
            <v>T1</v>
          </cell>
          <cell r="H1891">
            <v>13.333333333333332</v>
          </cell>
          <cell r="I1891" t="str">
            <v>menit</v>
          </cell>
          <cell r="L1891" t="str">
            <v>2.</v>
          </cell>
          <cell r="N1891" t="str">
            <v>Whell  Loader</v>
          </cell>
          <cell r="O1891" t="str">
            <v>(E15)</v>
          </cell>
          <cell r="P1891" t="str">
            <v>Jam</v>
          </cell>
          <cell r="Q1891">
            <v>1.4874312063067082E-2</v>
          </cell>
          <cell r="R1891">
            <v>163808.13869490434</v>
          </cell>
          <cell r="U1891">
            <v>2436.5333734181813</v>
          </cell>
        </row>
        <row r="1892">
          <cell r="C1892" t="str">
            <v>-  Waktu tempuh kosong   = (L : v2) x 60</v>
          </cell>
          <cell r="G1892" t="str">
            <v>T2</v>
          </cell>
          <cell r="H1892">
            <v>10</v>
          </cell>
          <cell r="I1892" t="str">
            <v>menit</v>
          </cell>
          <cell r="L1892" t="str">
            <v>3.</v>
          </cell>
          <cell r="N1892" t="str">
            <v>Alat  Bantu</v>
          </cell>
          <cell r="P1892" t="str">
            <v>Ls</v>
          </cell>
          <cell r="Q1892">
            <v>1</v>
          </cell>
          <cell r="R1892">
            <v>100</v>
          </cell>
          <cell r="U1892">
            <v>100</v>
          </cell>
        </row>
        <row r="1893">
          <cell r="C1893" t="str">
            <v>- Lain-lain</v>
          </cell>
          <cell r="G1893" t="str">
            <v>T3</v>
          </cell>
          <cell r="H1893">
            <v>3</v>
          </cell>
          <cell r="I1893" t="str">
            <v>menit</v>
          </cell>
        </row>
        <row r="1894">
          <cell r="G1894" t="str">
            <v>Ts1</v>
          </cell>
          <cell r="H1894">
            <v>26.333333333333332</v>
          </cell>
          <cell r="I1894" t="str">
            <v>menit</v>
          </cell>
        </row>
        <row r="1896">
          <cell r="C1896" t="str">
            <v>Kapasitas Produksi / Jam   =</v>
          </cell>
          <cell r="E1896" t="str">
            <v>V x Fa x 60</v>
          </cell>
          <cell r="G1896" t="str">
            <v>Q1</v>
          </cell>
          <cell r="H1896">
            <v>3.6772151898734178</v>
          </cell>
          <cell r="I1896" t="str">
            <v>M3/Jam</v>
          </cell>
        </row>
        <row r="1897">
          <cell r="E1897" t="str">
            <v>Ts1</v>
          </cell>
        </row>
        <row r="1898">
          <cell r="Q1898" t="str">
            <v xml:space="preserve">JUMLAH HARGA PERALATAN   </v>
          </cell>
          <cell r="U1898">
            <v>44319.669251905252</v>
          </cell>
        </row>
        <row r="1899">
          <cell r="C1899" t="str">
            <v>Koefisien Alat / M3</v>
          </cell>
          <cell r="D1899" t="str">
            <v xml:space="preserve"> =  1  :  Q1</v>
          </cell>
          <cell r="G1899" t="str">
            <v>(E08)</v>
          </cell>
          <cell r="H1899">
            <v>0.27194492254733216</v>
          </cell>
          <cell r="I1899" t="str">
            <v>Jam</v>
          </cell>
        </row>
        <row r="1900">
          <cell r="L1900" t="str">
            <v>D.</v>
          </cell>
          <cell r="N1900" t="str">
            <v>JUMLAH HARGA TENAGA, BAHAN DAN PERALATAN  ( A + B + C )</v>
          </cell>
          <cell r="U1900">
            <v>71747.748529013697</v>
          </cell>
        </row>
        <row r="1901">
          <cell r="L1901" t="str">
            <v>E.</v>
          </cell>
          <cell r="N1901" t="str">
            <v>OVERHEAD &amp; PROFIT</v>
          </cell>
          <cell r="P1901">
            <v>10</v>
          </cell>
          <cell r="Q1901" t="str">
            <v>%  x  D</v>
          </cell>
          <cell r="U1901">
            <v>7174.7748529013697</v>
          </cell>
        </row>
        <row r="1902">
          <cell r="A1902" t="str">
            <v>2.b.</v>
          </cell>
          <cell r="C1902" t="str">
            <v>ALAT  BANTU</v>
          </cell>
          <cell r="L1902" t="str">
            <v>F.</v>
          </cell>
          <cell r="N1902" t="str">
            <v>HARGA SATUAN PEKERJAAN  ( D + E )</v>
          </cell>
          <cell r="U1902">
            <v>78922.52338191506</v>
          </cell>
        </row>
        <row r="1903">
          <cell r="C1903" t="str">
            <v>Diperlukan alat-alat bantu kecil</v>
          </cell>
          <cell r="J1903" t="str">
            <v>Lump Sump</v>
          </cell>
          <cell r="L1903" t="str">
            <v>Note: 1</v>
          </cell>
          <cell r="N1903" t="str">
            <v>SATUAN dapat berdasarkan atas jam operasi untuk Tenaga Kerja dan Peralatan, volume dan/atau ukuran</v>
          </cell>
        </row>
        <row r="1904">
          <cell r="C1904" t="str">
            <v>- Sekop    =         3   buah</v>
          </cell>
          <cell r="N1904" t="str">
            <v>berat untuk bahan-bahan.</v>
          </cell>
        </row>
        <row r="1905">
          <cell r="L1905">
            <v>2</v>
          </cell>
          <cell r="N1905" t="str">
            <v>Kuantitas satuan adalah kuantitas setiap komponen untuk menyelesaikan satu satuan pekerjaan dari nomor</v>
          </cell>
        </row>
        <row r="1906">
          <cell r="N1906" t="str">
            <v>mata pembayaran.</v>
          </cell>
        </row>
        <row r="1907">
          <cell r="L1907">
            <v>3</v>
          </cell>
          <cell r="N1907" t="str">
            <v>Biaya satuan untuk peralatan sudah termasuk bahan bakar, bahan habis dipakai dan operator.</v>
          </cell>
        </row>
        <row r="1908">
          <cell r="L1908">
            <v>4</v>
          </cell>
          <cell r="N1908" t="str">
            <v>Biaya satuan sudah termasuk pengeluaran untuk seluruh pajak yang berkaitan (tetapi tidak termasuk PPN</v>
          </cell>
        </row>
        <row r="1909">
          <cell r="N1909" t="str">
            <v>yang dibayar dari kontrak) dan biaya-biaya lainnya.</v>
          </cell>
        </row>
        <row r="1911">
          <cell r="J1911" t="str">
            <v>Berlanjut ke halaman berikut</v>
          </cell>
        </row>
        <row r="1912">
          <cell r="A1912" t="str">
            <v>ITEM PEMBAYARAN NO.</v>
          </cell>
          <cell r="D1912" t="str">
            <v>:  3.2 (4)</v>
          </cell>
          <cell r="J1912" t="str">
            <v>Analisa EI-324</v>
          </cell>
        </row>
        <row r="1913">
          <cell r="A1913" t="str">
            <v>JENIS PEKERJAAN</v>
          </cell>
          <cell r="D1913" t="str">
            <v>:  Timb. Pilihan Di Atas Tnh. Rawa</v>
          </cell>
        </row>
        <row r="1914">
          <cell r="A1914" t="str">
            <v>SATUAN PEMBAYARAN</v>
          </cell>
          <cell r="D1914" t="str">
            <v>:  M3</v>
          </cell>
          <cell r="H1914" t="str">
            <v xml:space="preserve">         URAIAN ANALISA HARGA SATUAN</v>
          </cell>
        </row>
        <row r="1915">
          <cell r="J1915" t="str">
            <v>Lanjutan</v>
          </cell>
        </row>
        <row r="1917">
          <cell r="A1917" t="str">
            <v>No.</v>
          </cell>
          <cell r="C1917" t="str">
            <v>U R A I A N</v>
          </cell>
          <cell r="G1917" t="str">
            <v>KODE</v>
          </cell>
          <cell r="H1917" t="str">
            <v>KOEF.</v>
          </cell>
          <cell r="I1917" t="str">
            <v>SATUAN</v>
          </cell>
          <cell r="J1917" t="str">
            <v>KETERANGAN</v>
          </cell>
        </row>
        <row r="1920">
          <cell r="A1920" t="str">
            <v>2.c.</v>
          </cell>
          <cell r="C1920" t="str">
            <v>WHELL  LOADER</v>
          </cell>
          <cell r="G1920" t="str">
            <v>(E15)</v>
          </cell>
        </row>
        <row r="1921">
          <cell r="C1921" t="str">
            <v>Kapasitas  Bucket</v>
          </cell>
          <cell r="G1921" t="str">
            <v>V</v>
          </cell>
          <cell r="H1921">
            <v>1.5</v>
          </cell>
          <cell r="I1921" t="str">
            <v>M3</v>
          </cell>
        </row>
        <row r="1922">
          <cell r="C1922" t="str">
            <v>Faktor Bucket</v>
          </cell>
          <cell r="G1922" t="str">
            <v>Fb</v>
          </cell>
          <cell r="H1922">
            <v>0.9</v>
          </cell>
          <cell r="I1922" t="str">
            <v>-</v>
          </cell>
        </row>
        <row r="1923">
          <cell r="C1923" t="str">
            <v>Faktor Efisiensi Alat</v>
          </cell>
          <cell r="G1923" t="str">
            <v>Fa</v>
          </cell>
          <cell r="H1923">
            <v>0.83</v>
          </cell>
          <cell r="I1923" t="str">
            <v>-</v>
          </cell>
        </row>
        <row r="1924">
          <cell r="C1924" t="str">
            <v>Waktu sklus</v>
          </cell>
          <cell r="G1924" t="str">
            <v>Ts1</v>
          </cell>
          <cell r="I1924" t="str">
            <v>menit</v>
          </cell>
        </row>
        <row r="1925">
          <cell r="C1925" t="str">
            <v>- Muat</v>
          </cell>
          <cell r="G1925" t="str">
            <v>T1</v>
          </cell>
          <cell r="H1925">
            <v>0.5</v>
          </cell>
          <cell r="I1925" t="str">
            <v>menit</v>
          </cell>
        </row>
        <row r="1926">
          <cell r="C1926" t="str">
            <v>- Lain-lain</v>
          </cell>
          <cell r="G1926" t="str">
            <v>T2</v>
          </cell>
          <cell r="H1926">
            <v>0.5</v>
          </cell>
          <cell r="I1926" t="str">
            <v>menit</v>
          </cell>
        </row>
        <row r="1927">
          <cell r="G1927" t="str">
            <v>Ts2</v>
          </cell>
          <cell r="H1927">
            <v>1</v>
          </cell>
          <cell r="I1927" t="str">
            <v>menit</v>
          </cell>
        </row>
        <row r="1929">
          <cell r="C1929" t="str">
            <v>Kapasitas Produksi / Jam =</v>
          </cell>
          <cell r="E1929" t="str">
            <v>V  x  Fb x Fa x 60</v>
          </cell>
          <cell r="G1929" t="str">
            <v>Q2</v>
          </cell>
          <cell r="H1929">
            <v>67.23</v>
          </cell>
          <cell r="I1929" t="str">
            <v>M3</v>
          </cell>
        </row>
        <row r="1930">
          <cell r="E1930" t="str">
            <v>Ts1</v>
          </cell>
        </row>
        <row r="1932">
          <cell r="C1932" t="str">
            <v>Koefisienalat / M3</v>
          </cell>
          <cell r="D1932" t="str">
            <v xml:space="preserve"> =   1 : Q2</v>
          </cell>
          <cell r="G1932" t="str">
            <v>(E15)</v>
          </cell>
          <cell r="H1932">
            <v>1.4874312063067082E-2</v>
          </cell>
          <cell r="I1932" t="str">
            <v>Jam</v>
          </cell>
        </row>
        <row r="1934">
          <cell r="A1934" t="str">
            <v xml:space="preserve">   3.</v>
          </cell>
          <cell r="C1934" t="str">
            <v>TENAGA</v>
          </cell>
        </row>
        <row r="1935">
          <cell r="C1935" t="str">
            <v>Produksi menentukan : DUMP TRUCK</v>
          </cell>
          <cell r="G1935" t="str">
            <v>Q1</v>
          </cell>
          <cell r="H1935">
            <v>3.6772151898734178</v>
          </cell>
          <cell r="I1935" t="str">
            <v>M3/Jam</v>
          </cell>
        </row>
        <row r="1936">
          <cell r="C1936" t="str">
            <v>Produksi Timbunan / hari  =  Tk x Q1</v>
          </cell>
          <cell r="G1936" t="str">
            <v>Qt</v>
          </cell>
          <cell r="H1936">
            <v>25.740506329113924</v>
          </cell>
          <cell r="I1936" t="str">
            <v>M3</v>
          </cell>
        </row>
        <row r="1937">
          <cell r="C1937" t="str">
            <v>Asumsi permukaan hamparan di permukaan rawa :</v>
          </cell>
        </row>
        <row r="1939">
          <cell r="C1939" t="str">
            <v>Kebutuhan tenaga :</v>
          </cell>
        </row>
        <row r="1940">
          <cell r="D1940" t="str">
            <v>- Pekerja</v>
          </cell>
          <cell r="G1940" t="str">
            <v>P</v>
          </cell>
          <cell r="H1940">
            <v>2</v>
          </cell>
          <cell r="I1940" t="str">
            <v>orang</v>
          </cell>
        </row>
        <row r="1941">
          <cell r="D1941" t="str">
            <v>- Mandor</v>
          </cell>
          <cell r="G1941" t="str">
            <v>M</v>
          </cell>
          <cell r="H1941">
            <v>1</v>
          </cell>
          <cell r="I1941" t="str">
            <v>orang</v>
          </cell>
        </row>
        <row r="1944">
          <cell r="C1944" t="str">
            <v>Koefisien tenaga / M3   :</v>
          </cell>
        </row>
        <row r="1945">
          <cell r="D1945" t="str">
            <v>- Pekerja</v>
          </cell>
          <cell r="E1945" t="str">
            <v>= (Tk x P) : Qt</v>
          </cell>
          <cell r="G1945" t="str">
            <v>(L01)</v>
          </cell>
          <cell r="H1945">
            <v>0.54388984509466443</v>
          </cell>
          <cell r="I1945" t="str">
            <v>Jam</v>
          </cell>
        </row>
        <row r="1946">
          <cell r="D1946" t="str">
            <v>- Mandor</v>
          </cell>
          <cell r="E1946" t="str">
            <v>= (Tk x M) : Qt</v>
          </cell>
          <cell r="G1946" t="str">
            <v>(L02)</v>
          </cell>
          <cell r="H1946">
            <v>0.27194492254733221</v>
          </cell>
          <cell r="I1946" t="str">
            <v>Jam</v>
          </cell>
        </row>
        <row r="1949">
          <cell r="A1949" t="str">
            <v>4.</v>
          </cell>
          <cell r="C1949" t="str">
            <v>HARGA DASAR SATUAN UPAH, BAHAN DAN ALAT</v>
          </cell>
        </row>
        <row r="1950">
          <cell r="C1950" t="str">
            <v>Lihat lampiran.</v>
          </cell>
        </row>
        <row r="1953">
          <cell r="A1953" t="str">
            <v>5.</v>
          </cell>
          <cell r="C1953" t="str">
            <v>ANALISA HARGA SATUAN PEKERJAAN</v>
          </cell>
        </row>
        <row r="1954">
          <cell r="C1954" t="str">
            <v>Lihat perhitungan dalam FORMULIR STANDAR UNTUK</v>
          </cell>
        </row>
        <row r="1955">
          <cell r="C1955" t="str">
            <v>PEREKEMAN ANALISA MASING-MASING HARGA</v>
          </cell>
        </row>
        <row r="1956">
          <cell r="C1956" t="str">
            <v>SATUAN.</v>
          </cell>
        </row>
        <row r="1957">
          <cell r="C1957" t="str">
            <v>Didapat Harga Satuan Pekerjaan :</v>
          </cell>
        </row>
        <row r="1959">
          <cell r="C1959" t="str">
            <v xml:space="preserve">Rp.  </v>
          </cell>
          <cell r="D1959">
            <v>78922.52338191506</v>
          </cell>
          <cell r="E1959" t="str">
            <v xml:space="preserve"> / M3</v>
          </cell>
        </row>
        <row r="1962">
          <cell r="A1962" t="str">
            <v>6.</v>
          </cell>
          <cell r="C1962" t="str">
            <v>WAKTU PELAKSANAAN YANG DIPERLUKAN</v>
          </cell>
        </row>
        <row r="1963">
          <cell r="C1963" t="str">
            <v>Masa Pelaksanaan :</v>
          </cell>
          <cell r="D1963" t="str">
            <v>. . . . . . . . . . . .</v>
          </cell>
          <cell r="E1963" t="str">
            <v>bulan</v>
          </cell>
        </row>
        <row r="1965">
          <cell r="A1965" t="str">
            <v>7.</v>
          </cell>
          <cell r="C1965" t="str">
            <v>VOLUME PEKERJAAN YANG DIPERLUKAN</v>
          </cell>
        </row>
        <row r="1966">
          <cell r="C1966" t="str">
            <v>Volume pekerjaan  :</v>
          </cell>
          <cell r="D1966">
            <v>1</v>
          </cell>
          <cell r="E1966" t="str">
            <v>M3</v>
          </cell>
        </row>
        <row r="1971">
          <cell r="T1971" t="str">
            <v>Analisa EI-331</v>
          </cell>
        </row>
        <row r="1973">
          <cell r="A1973" t="str">
            <v>ITEM PEMBAYARAN NO.</v>
          </cell>
          <cell r="D1973" t="str">
            <v>:  3.3 (1)</v>
          </cell>
          <cell r="J1973" t="str">
            <v>Analisa EI-331</v>
          </cell>
          <cell r="L1973" t="str">
            <v>FORMULIR STANDAR UNTUK</v>
          </cell>
        </row>
        <row r="1974">
          <cell r="A1974" t="str">
            <v>JENIS PEKERJAAN</v>
          </cell>
          <cell r="D1974" t="str">
            <v>:  Penyiapan Badan Jalan pada Galian</v>
          </cell>
          <cell r="L1974" t="str">
            <v>PEREKAMAN ANALISA MASING-MASING HARGA SATUAN</v>
          </cell>
        </row>
        <row r="1975">
          <cell r="A1975" t="str">
            <v>SATUAN PEMBAYARAN</v>
          </cell>
          <cell r="D1975" t="str">
            <v>:  M2</v>
          </cell>
          <cell r="F1975" t="str">
            <v>Biasa</v>
          </cell>
          <cell r="H1975" t="str">
            <v xml:space="preserve">         URAIAN ANALISA HARGA SATUAN</v>
          </cell>
          <cell r="L1975" t="str">
            <v xml:space="preserve">                                                                                                            </v>
          </cell>
        </row>
        <row r="1978">
          <cell r="A1978" t="str">
            <v>No.</v>
          </cell>
          <cell r="C1978" t="str">
            <v>U R A I A N</v>
          </cell>
          <cell r="G1978" t="str">
            <v>KODE</v>
          </cell>
          <cell r="H1978" t="str">
            <v>KOEF.</v>
          </cell>
          <cell r="I1978" t="str">
            <v>SATUAN</v>
          </cell>
          <cell r="J1978" t="str">
            <v>KETERANGAN</v>
          </cell>
          <cell r="L1978" t="str">
            <v>PROYEK</v>
          </cell>
          <cell r="O1978" t="str">
            <v>:</v>
          </cell>
        </row>
        <row r="1979">
          <cell r="L1979" t="str">
            <v>No. PAKET KONTRAK</v>
          </cell>
          <cell r="O1979" t="str">
            <v>:</v>
          </cell>
        </row>
        <row r="1980">
          <cell r="L1980" t="str">
            <v>NAMA PAKET</v>
          </cell>
          <cell r="O1980" t="str">
            <v>:</v>
          </cell>
        </row>
        <row r="1981">
          <cell r="A1981" t="str">
            <v>I.</v>
          </cell>
          <cell r="C1981" t="str">
            <v>ASUMSI</v>
          </cell>
          <cell r="L1981" t="str">
            <v>PROP / KAB / KODYA</v>
          </cell>
          <cell r="O1981" t="str">
            <v>:</v>
          </cell>
        </row>
        <row r="1982">
          <cell r="A1982">
            <v>1</v>
          </cell>
          <cell r="C1982" t="str">
            <v>Pekerjaan dilaksanakan hanya pada tanah  galian</v>
          </cell>
          <cell r="L1982" t="str">
            <v>ITEM PEMBAYARAN NO.</v>
          </cell>
          <cell r="O1982" t="str">
            <v>:  3.3 (1)</v>
          </cell>
          <cell r="R1982" t="str">
            <v>PERKIRAAN VOL. PEK.</v>
          </cell>
          <cell r="T1982" t="str">
            <v>:</v>
          </cell>
          <cell r="U1982">
            <v>1</v>
          </cell>
        </row>
        <row r="1983">
          <cell r="A1983">
            <v>2</v>
          </cell>
          <cell r="C1983" t="str">
            <v>Pekerjaan dilakukan secara mekanis</v>
          </cell>
          <cell r="L1983" t="str">
            <v>JENIS PEKERJAAN</v>
          </cell>
          <cell r="O1983" t="str">
            <v>:  Penyiapan Badan Jalan pada Galian</v>
          </cell>
          <cell r="R1983" t="str">
            <v>TOTAL HARGA (Rp.)</v>
          </cell>
          <cell r="T1983" t="str">
            <v>:</v>
          </cell>
          <cell r="U1983">
            <v>809086.35646871035</v>
          </cell>
        </row>
        <row r="1984">
          <cell r="A1984">
            <v>3</v>
          </cell>
          <cell r="C1984" t="str">
            <v>Lokasi pekerjaan : sepanjang jalan</v>
          </cell>
          <cell r="L1984" t="str">
            <v>SATUAN PEMBAYARAN</v>
          </cell>
          <cell r="O1984" t="str">
            <v>:  M2</v>
          </cell>
          <cell r="Q1984" t="str">
            <v>Biasa</v>
          </cell>
          <cell r="R1984" t="str">
            <v>% THD. BIAYA PROYEK</v>
          </cell>
          <cell r="T1984" t="str">
            <v>:</v>
          </cell>
          <cell r="U1984" t="e">
            <v>#DIV/0!</v>
          </cell>
        </row>
        <row r="1985">
          <cell r="A1985">
            <v>4</v>
          </cell>
          <cell r="C1985" t="str">
            <v>Kondisi Jalan   : jelek / belum padat</v>
          </cell>
        </row>
        <row r="1986">
          <cell r="A1986">
            <v>5</v>
          </cell>
          <cell r="C1986" t="str">
            <v>Jam kerja efektif per-hari</v>
          </cell>
          <cell r="G1986" t="str">
            <v>Tk</v>
          </cell>
          <cell r="H1986">
            <v>7</v>
          </cell>
          <cell r="I1986" t="str">
            <v>Jam</v>
          </cell>
        </row>
        <row r="1987">
          <cell r="Q1987" t="str">
            <v>PERKIRAAN</v>
          </cell>
          <cell r="R1987" t="str">
            <v>HARGA</v>
          </cell>
          <cell r="S1987" t="str">
            <v>JUMLAH</v>
          </cell>
        </row>
        <row r="1988">
          <cell r="L1988" t="str">
            <v>NO.</v>
          </cell>
          <cell r="N1988" t="str">
            <v>KOMPONEN</v>
          </cell>
          <cell r="P1988" t="str">
            <v>SATUAN</v>
          </cell>
          <cell r="Q1988" t="str">
            <v>KUANTITAS</v>
          </cell>
          <cell r="R1988" t="str">
            <v>SATUAN</v>
          </cell>
          <cell r="S1988" t="str">
            <v>HARGA</v>
          </cell>
        </row>
        <row r="1989">
          <cell r="A1989" t="str">
            <v>II.</v>
          </cell>
          <cell r="C1989" t="str">
            <v>URUTAN KERJA</v>
          </cell>
          <cell r="R1989" t="str">
            <v>(Rp.)</v>
          </cell>
          <cell r="S1989" t="str">
            <v>(Rp.)</v>
          </cell>
        </row>
        <row r="1990">
          <cell r="A1990">
            <v>1</v>
          </cell>
          <cell r="C1990" t="str">
            <v>Motor Grader meratakan permukaan hasil galian</v>
          </cell>
        </row>
        <row r="1991">
          <cell r="A1991">
            <v>2</v>
          </cell>
          <cell r="C1991" t="str">
            <v>Vibro Roller memadatkan permukaan yang telah</v>
          </cell>
        </row>
        <row r="1992">
          <cell r="C1992" t="str">
            <v>dipotong/diratakan oleh Motor Grader</v>
          </cell>
          <cell r="L1992" t="str">
            <v>A.</v>
          </cell>
          <cell r="N1992" t="str">
            <v>TENAGA</v>
          </cell>
        </row>
        <row r="1993">
          <cell r="A1993">
            <v>3</v>
          </cell>
          <cell r="C1993" t="str">
            <v>Sekelompok pekerja akan membantu meratakan</v>
          </cell>
        </row>
        <row r="1994">
          <cell r="C1994" t="str">
            <v>badan jalan dengan alat bantu</v>
          </cell>
          <cell r="L1994" t="str">
            <v>1.</v>
          </cell>
          <cell r="N1994" t="str">
            <v>Pekerja</v>
          </cell>
          <cell r="O1994" t="str">
            <v>(L01)</v>
          </cell>
          <cell r="P1994" t="str">
            <v>jam</v>
          </cell>
          <cell r="Q1994">
            <v>1.6064257028112448E-2</v>
          </cell>
          <cell r="R1994">
            <v>2857.14</v>
          </cell>
          <cell r="U1994">
            <v>45.897831325301198</v>
          </cell>
        </row>
        <row r="1995">
          <cell r="L1995" t="str">
            <v>2.</v>
          </cell>
          <cell r="N1995" t="str">
            <v>Mandor</v>
          </cell>
          <cell r="O1995" t="str">
            <v>(L02)</v>
          </cell>
          <cell r="P1995" t="str">
            <v>jam</v>
          </cell>
          <cell r="Q1995">
            <v>4.0160642570281121E-3</v>
          </cell>
          <cell r="R1995">
            <v>3214.29</v>
          </cell>
          <cell r="U1995">
            <v>12.90879518072289</v>
          </cell>
        </row>
        <row r="1998">
          <cell r="Q1998" t="str">
            <v xml:space="preserve">JUMLAH HARGA TENAGA   </v>
          </cell>
          <cell r="U1998">
            <v>58.806626506024088</v>
          </cell>
        </row>
        <row r="2000">
          <cell r="L2000" t="str">
            <v>B.</v>
          </cell>
          <cell r="N2000" t="str">
            <v>BAHAN</v>
          </cell>
        </row>
        <row r="2001">
          <cell r="A2001" t="str">
            <v>III.</v>
          </cell>
          <cell r="C2001" t="str">
            <v>PEMAKAIAN BAHAN, ALAT DAN TENAGA</v>
          </cell>
        </row>
        <row r="2002">
          <cell r="A2002" t="str">
            <v xml:space="preserve">   1.</v>
          </cell>
          <cell r="C2002" t="str">
            <v>BAHAN</v>
          </cell>
        </row>
        <row r="2003">
          <cell r="C2003" t="str">
            <v>Tidak diperlukan bahan / material</v>
          </cell>
        </row>
        <row r="2005">
          <cell r="A2005" t="str">
            <v xml:space="preserve">   2.</v>
          </cell>
          <cell r="C2005" t="str">
            <v>ALAT</v>
          </cell>
        </row>
        <row r="2006">
          <cell r="A2006" t="str">
            <v>2.a.</v>
          </cell>
          <cell r="C2006" t="str">
            <v>MOTOR GRADER</v>
          </cell>
          <cell r="G2006" t="str">
            <v>(E13)</v>
          </cell>
        </row>
        <row r="2007">
          <cell r="C2007" t="str">
            <v>Panjang operasi grader sekali jalan</v>
          </cell>
          <cell r="G2007" t="str">
            <v>Lh</v>
          </cell>
          <cell r="H2007">
            <v>50</v>
          </cell>
          <cell r="I2007" t="str">
            <v>M</v>
          </cell>
        </row>
        <row r="2008">
          <cell r="C2008" t="str">
            <v>Lebar Efektif kerja Blade</v>
          </cell>
          <cell r="G2008" t="str">
            <v>b</v>
          </cell>
          <cell r="H2008">
            <v>2.4</v>
          </cell>
          <cell r="I2008" t="str">
            <v>M</v>
          </cell>
        </row>
        <row r="2009">
          <cell r="C2009" t="str">
            <v>Faktor Efisiensi Alat</v>
          </cell>
          <cell r="G2009" t="str">
            <v>Fa</v>
          </cell>
          <cell r="H2009">
            <v>0.83</v>
          </cell>
          <cell r="I2009" t="str">
            <v>-</v>
          </cell>
        </row>
        <row r="2010">
          <cell r="C2010" t="str">
            <v>Kecepatan rata-rata alat</v>
          </cell>
          <cell r="G2010" t="str">
            <v>v</v>
          </cell>
          <cell r="H2010">
            <v>2</v>
          </cell>
          <cell r="I2010" t="str">
            <v>Km / Jam</v>
          </cell>
        </row>
        <row r="2011">
          <cell r="C2011" t="str">
            <v>Jumlah lintasan</v>
          </cell>
          <cell r="G2011" t="str">
            <v>n</v>
          </cell>
          <cell r="H2011">
            <v>6</v>
          </cell>
          <cell r="I2011" t="str">
            <v>lintasan</v>
          </cell>
        </row>
        <row r="2012">
          <cell r="C2012" t="str">
            <v>Waktu siklus</v>
          </cell>
          <cell r="G2012" t="str">
            <v>Ts1</v>
          </cell>
        </row>
        <row r="2013">
          <cell r="C2013" t="str">
            <v>- Perataan 1 kali lintasan    = Lh : (v x 1000) x 60</v>
          </cell>
          <cell r="G2013" t="str">
            <v>T1</v>
          </cell>
          <cell r="H2013">
            <v>1.5</v>
          </cell>
          <cell r="I2013" t="str">
            <v>menit</v>
          </cell>
        </row>
        <row r="2014">
          <cell r="C2014" t="str">
            <v>- Lain-lain</v>
          </cell>
          <cell r="G2014" t="str">
            <v>T2</v>
          </cell>
          <cell r="H2014">
            <v>1</v>
          </cell>
          <cell r="I2014" t="str">
            <v>menit</v>
          </cell>
        </row>
        <row r="2015">
          <cell r="G2015" t="str">
            <v>Ts1</v>
          </cell>
          <cell r="H2015">
            <v>2.5</v>
          </cell>
          <cell r="I2015" t="str">
            <v>menit</v>
          </cell>
        </row>
        <row r="2017">
          <cell r="C2017" t="str">
            <v>Kapasitas Produksi / Jam   =</v>
          </cell>
          <cell r="E2017" t="str">
            <v>Lh x b x Fa x 60</v>
          </cell>
          <cell r="G2017" t="str">
            <v>Q1</v>
          </cell>
          <cell r="H2017">
            <v>398.4</v>
          </cell>
          <cell r="I2017" t="str">
            <v>M2</v>
          </cell>
        </row>
        <row r="2018">
          <cell r="E2018" t="str">
            <v xml:space="preserve">      n x Ts</v>
          </cell>
        </row>
        <row r="2020">
          <cell r="C2020" t="str">
            <v>Koefisien Alat / m2</v>
          </cell>
          <cell r="D2020" t="str">
            <v xml:space="preserve"> =  1  :  Q1</v>
          </cell>
          <cell r="G2020" t="str">
            <v>(E13)</v>
          </cell>
          <cell r="H2020">
            <v>2.5100401606425703E-3</v>
          </cell>
          <cell r="I2020" t="str">
            <v>Jam</v>
          </cell>
        </row>
        <row r="2022">
          <cell r="A2022" t="str">
            <v>2.b.</v>
          </cell>
          <cell r="C2022" t="str">
            <v>VIBRATOR ROLLER</v>
          </cell>
          <cell r="G2022" t="str">
            <v>(E19)</v>
          </cell>
        </row>
        <row r="2023">
          <cell r="C2023" t="str">
            <v>Kecepatan rata-rata alat</v>
          </cell>
          <cell r="G2023" t="str">
            <v>v</v>
          </cell>
          <cell r="H2023">
            <v>2</v>
          </cell>
          <cell r="I2023" t="str">
            <v>Km / jam</v>
          </cell>
        </row>
        <row r="2024">
          <cell r="C2024" t="str">
            <v>Lebar efektif pemadatan</v>
          </cell>
          <cell r="G2024" t="str">
            <v>b</v>
          </cell>
          <cell r="H2024">
            <v>1.2</v>
          </cell>
          <cell r="I2024" t="str">
            <v>M</v>
          </cell>
        </row>
        <row r="2025">
          <cell r="C2025" t="str">
            <v>Jumlah lintasan</v>
          </cell>
          <cell r="G2025" t="str">
            <v>n</v>
          </cell>
          <cell r="H2025">
            <v>8</v>
          </cell>
          <cell r="I2025" t="str">
            <v>lintasan</v>
          </cell>
        </row>
        <row r="2026">
          <cell r="C2026" t="str">
            <v>Faktor efisiensi alat</v>
          </cell>
          <cell r="G2026" t="str">
            <v>Fa</v>
          </cell>
          <cell r="H2026">
            <v>0.83</v>
          </cell>
          <cell r="I2026" t="str">
            <v>-</v>
          </cell>
        </row>
        <row r="2028">
          <cell r="C2028" t="str">
            <v>Kapasitas Produksi / Jam   =</v>
          </cell>
          <cell r="E2028" t="str">
            <v>(v x 1000) x b x Fa</v>
          </cell>
          <cell r="G2028" t="str">
            <v>Q2</v>
          </cell>
          <cell r="H2028">
            <v>249</v>
          </cell>
          <cell r="I2028" t="str">
            <v>M2</v>
          </cell>
        </row>
        <row r="2029">
          <cell r="E2029" t="str">
            <v>n</v>
          </cell>
        </row>
        <row r="2031">
          <cell r="C2031" t="str">
            <v>Koefisien Alat / m2</v>
          </cell>
          <cell r="D2031" t="str">
            <v xml:space="preserve"> =  1  :  Q2</v>
          </cell>
          <cell r="G2031" t="str">
            <v>(E19)</v>
          </cell>
          <cell r="H2031">
            <v>4.0160642570281121E-3</v>
          </cell>
          <cell r="I2031" t="str">
            <v>Jam</v>
          </cell>
        </row>
        <row r="2033">
          <cell r="J2033" t="str">
            <v>Berlanjut ke halaman berikut</v>
          </cell>
        </row>
        <row r="2034">
          <cell r="A2034" t="str">
            <v>ITEM PEMBAYARAN NO.</v>
          </cell>
          <cell r="D2034" t="str">
            <v>:  3.3 (1)</v>
          </cell>
          <cell r="J2034" t="str">
            <v>Analisa EI-331</v>
          </cell>
        </row>
        <row r="2035">
          <cell r="A2035" t="str">
            <v>JENIS PEKERJAAN</v>
          </cell>
          <cell r="D2035" t="str">
            <v>:  Penyiapan Badan Jalan pada Galian</v>
          </cell>
        </row>
        <row r="2036">
          <cell r="A2036" t="str">
            <v>SATUAN PEMBAYARAN</v>
          </cell>
          <cell r="D2036" t="str">
            <v>:  M2</v>
          </cell>
          <cell r="H2036" t="str">
            <v xml:space="preserve">         URAIAN ANALISA HARGA SATUAN</v>
          </cell>
        </row>
        <row r="2037">
          <cell r="J2037" t="str">
            <v>Lanjutan</v>
          </cell>
        </row>
        <row r="2039">
          <cell r="A2039" t="str">
            <v>No.</v>
          </cell>
          <cell r="C2039" t="str">
            <v>U R A I A N</v>
          </cell>
          <cell r="G2039" t="str">
            <v>KODE</v>
          </cell>
          <cell r="H2039" t="str">
            <v>KOEF.</v>
          </cell>
          <cell r="I2039" t="str">
            <v>SATUAN</v>
          </cell>
          <cell r="J2039" t="str">
            <v>KETERANGAN</v>
          </cell>
        </row>
        <row r="2042">
          <cell r="A2042" t="str">
            <v>2.c.</v>
          </cell>
          <cell r="C2042" t="str">
            <v>WATER TANK TRUCK</v>
          </cell>
          <cell r="G2042" t="str">
            <v>(E23)</v>
          </cell>
        </row>
        <row r="2043">
          <cell r="C2043" t="str">
            <v>Volume tangki air</v>
          </cell>
          <cell r="G2043" t="str">
            <v>V</v>
          </cell>
          <cell r="H2043">
            <v>4</v>
          </cell>
          <cell r="I2043" t="str">
            <v>M3</v>
          </cell>
        </row>
        <row r="2044">
          <cell r="C2044" t="str">
            <v>Kebutuhan air / M2 permukaan padat</v>
          </cell>
          <cell r="G2044" t="str">
            <v>Wc</v>
          </cell>
          <cell r="H2044">
            <v>0.01</v>
          </cell>
          <cell r="I2044" t="str">
            <v>M3</v>
          </cell>
        </row>
        <row r="2045">
          <cell r="C2045" t="str">
            <v>Pengisian Tangki / jam</v>
          </cell>
          <cell r="G2045" t="str">
            <v>n</v>
          </cell>
          <cell r="H2045">
            <v>1</v>
          </cell>
          <cell r="I2045" t="str">
            <v>kali</v>
          </cell>
        </row>
        <row r="2046">
          <cell r="C2046" t="str">
            <v>Faktor efisiensi alat</v>
          </cell>
          <cell r="G2046" t="str">
            <v>Fa</v>
          </cell>
          <cell r="H2046">
            <v>0.83</v>
          </cell>
          <cell r="I2046" t="str">
            <v>-</v>
          </cell>
        </row>
        <row r="2048">
          <cell r="C2048" t="str">
            <v>Kapasitas Produksi / Jam   =</v>
          </cell>
          <cell r="E2048" t="str">
            <v>V  x  n x Fa</v>
          </cell>
          <cell r="G2048" t="str">
            <v>Q3</v>
          </cell>
          <cell r="H2048">
            <v>332</v>
          </cell>
          <cell r="I2048" t="str">
            <v>M2</v>
          </cell>
        </row>
        <row r="2049">
          <cell r="E2049" t="str">
            <v xml:space="preserve">     Wc</v>
          </cell>
        </row>
        <row r="2051">
          <cell r="C2051" t="str">
            <v>Koefisien Alat / m2</v>
          </cell>
          <cell r="D2051" t="str">
            <v xml:space="preserve"> =  1  :  Q3</v>
          </cell>
          <cell r="G2051" t="str">
            <v>(E23)</v>
          </cell>
          <cell r="H2051">
            <v>3.0120481927710845E-3</v>
          </cell>
          <cell r="I2051" t="str">
            <v>Jam</v>
          </cell>
        </row>
        <row r="2054">
          <cell r="A2054" t="str">
            <v>2.d.</v>
          </cell>
          <cell r="C2054" t="str">
            <v>ALAT  BANTU</v>
          </cell>
        </row>
        <row r="2055">
          <cell r="C2055" t="str">
            <v>Diperlukan alat-alat bantu kecil</v>
          </cell>
          <cell r="J2055" t="str">
            <v>Lump Sum</v>
          </cell>
        </row>
        <row r="2056">
          <cell r="C2056" t="str">
            <v>- Sekop    =         3   buah</v>
          </cell>
        </row>
        <row r="2059">
          <cell r="A2059" t="str">
            <v xml:space="preserve">   3.</v>
          </cell>
          <cell r="C2059" t="str">
            <v>TENAGA</v>
          </cell>
        </row>
        <row r="2060">
          <cell r="C2060" t="str">
            <v>Produksi menentukan : VIBRATORY  ROLLER</v>
          </cell>
          <cell r="G2060" t="str">
            <v>Q2</v>
          </cell>
          <cell r="H2060">
            <v>249</v>
          </cell>
          <cell r="I2060" t="str">
            <v>M2/Jam</v>
          </cell>
        </row>
        <row r="2061">
          <cell r="C2061" t="str">
            <v>Produksi Pekerjaan / hari  =  Tk x Q1</v>
          </cell>
          <cell r="G2061" t="str">
            <v>Qt</v>
          </cell>
          <cell r="H2061">
            <v>1743</v>
          </cell>
          <cell r="I2061" t="str">
            <v>M2</v>
          </cell>
        </row>
        <row r="2062">
          <cell r="C2062" t="str">
            <v>Kebutuhan tenaga :</v>
          </cell>
        </row>
        <row r="2063">
          <cell r="D2063" t="str">
            <v>- Pekerja</v>
          </cell>
          <cell r="G2063" t="str">
            <v>P</v>
          </cell>
          <cell r="H2063">
            <v>4</v>
          </cell>
          <cell r="I2063" t="str">
            <v>orang</v>
          </cell>
        </row>
        <row r="2064">
          <cell r="D2064" t="str">
            <v>- Mandor</v>
          </cell>
          <cell r="G2064" t="str">
            <v>M</v>
          </cell>
          <cell r="H2064">
            <v>1</v>
          </cell>
          <cell r="I2064" t="str">
            <v>orang</v>
          </cell>
        </row>
        <row r="2067">
          <cell r="C2067" t="str">
            <v>Koefisien tenaga / M2</v>
          </cell>
        </row>
        <row r="2068">
          <cell r="D2068" t="str">
            <v>- Pekerja</v>
          </cell>
          <cell r="E2068" t="str">
            <v>= (Tk x P) : Qt</v>
          </cell>
          <cell r="G2068" t="str">
            <v>(L01)</v>
          </cell>
          <cell r="H2068">
            <v>1.6064257028112448E-2</v>
          </cell>
          <cell r="I2068" t="str">
            <v>Jam</v>
          </cell>
        </row>
        <row r="2069">
          <cell r="D2069" t="str">
            <v>- Mandor</v>
          </cell>
          <cell r="E2069" t="str">
            <v>= (Tk x M) : Qt</v>
          </cell>
          <cell r="G2069" t="str">
            <v>(L02)</v>
          </cell>
          <cell r="H2069">
            <v>4.0160642570281121E-3</v>
          </cell>
          <cell r="I2069" t="str">
            <v>Jam</v>
          </cell>
        </row>
        <row r="2072">
          <cell r="A2072" t="str">
            <v>4.</v>
          </cell>
          <cell r="C2072" t="str">
            <v>HARGA DASAR SATUAN UPAH, BAHAN DAN ALAT</v>
          </cell>
        </row>
        <row r="2073">
          <cell r="C2073" t="str">
            <v>Lihat lampiran.</v>
          </cell>
        </row>
        <row r="2076">
          <cell r="A2076" t="str">
            <v>5.</v>
          </cell>
          <cell r="C2076" t="str">
            <v>ANALISA HARGA SATUAN PEKERJAAN</v>
          </cell>
        </row>
        <row r="2077">
          <cell r="C2077" t="str">
            <v>Lihat perhitungan dalam FORMULIR STANDAR UNTUK</v>
          </cell>
        </row>
        <row r="2078">
          <cell r="C2078" t="str">
            <v>PEREKEMAN ANALISA MASING-MASING HARGA</v>
          </cell>
        </row>
        <row r="2079">
          <cell r="C2079" t="str">
            <v>SATUAN.</v>
          </cell>
        </row>
        <row r="2080">
          <cell r="C2080" t="str">
            <v>Didapat Harga Satuan Pekerjaan :</v>
          </cell>
        </row>
        <row r="2082">
          <cell r="C2082" t="str">
            <v xml:space="preserve">Rp.  </v>
          </cell>
          <cell r="D2082">
            <v>1891.5348272711353</v>
          </cell>
          <cell r="E2082" t="str">
            <v xml:space="preserve"> / M2</v>
          </cell>
        </row>
        <row r="2085">
          <cell r="A2085" t="str">
            <v>6.</v>
          </cell>
          <cell r="C2085" t="str">
            <v>WAKTU PELAKSANAAN YANG DIPERLUKAN</v>
          </cell>
        </row>
        <row r="2086">
          <cell r="C2086" t="str">
            <v>Masa Pelaksanaan :</v>
          </cell>
          <cell r="D2086" t="str">
            <v>. . . . . . . . . . . .</v>
          </cell>
          <cell r="E2086" t="str">
            <v>bulan</v>
          </cell>
        </row>
        <row r="2088">
          <cell r="A2088" t="str">
            <v>7.</v>
          </cell>
          <cell r="C2088" t="str">
            <v>VOLUME PEKERJAAN YANG DIPERLUKAN</v>
          </cell>
        </row>
        <row r="2089">
          <cell r="C2089" t="str">
            <v>Volume pekerjaan  :</v>
          </cell>
          <cell r="D2089">
            <v>1</v>
          </cell>
          <cell r="E2089" t="str">
            <v>M2</v>
          </cell>
        </row>
        <row r="2094">
          <cell r="A2094" t="str">
            <v>ITEM PEMBAYARAN NO.</v>
          </cell>
          <cell r="D2094" t="str">
            <v>:  3.1.(7)</v>
          </cell>
          <cell r="J2094" t="str">
            <v>Analisa EI-312</v>
          </cell>
        </row>
        <row r="2095">
          <cell r="A2095" t="str">
            <v>JENIS PEKERJAAN</v>
          </cell>
          <cell r="D2095" t="str">
            <v>:  Pembongk Perk Beraspal dg Cold Milling Machine</v>
          </cell>
        </row>
        <row r="2096">
          <cell r="A2096" t="str">
            <v>SATUAN PEMBAYARAN</v>
          </cell>
          <cell r="D2096" t="str">
            <v>:  M3</v>
          </cell>
          <cell r="H2096" t="str">
            <v xml:space="preserve">         URAIAN ANALISA HARGA SATUAN</v>
          </cell>
        </row>
        <row r="2099">
          <cell r="A2099" t="str">
            <v>No.</v>
          </cell>
          <cell r="C2099" t="str">
            <v>U R A I A N</v>
          </cell>
          <cell r="G2099" t="str">
            <v>KODE</v>
          </cell>
          <cell r="H2099" t="str">
            <v>KOEF.</v>
          </cell>
          <cell r="I2099" t="str">
            <v>SATUAN</v>
          </cell>
          <cell r="J2099" t="str">
            <v>KETERANGAN</v>
          </cell>
        </row>
        <row r="2102">
          <cell r="A2102" t="str">
            <v>I.</v>
          </cell>
          <cell r="C2102" t="str">
            <v>ASUMSI</v>
          </cell>
        </row>
        <row r="2103">
          <cell r="A2103">
            <v>1</v>
          </cell>
          <cell r="C2103" t="str">
            <v>Pekerjaan dilakukan secara mekanik</v>
          </cell>
        </row>
        <row r="2104">
          <cell r="A2104">
            <v>2</v>
          </cell>
          <cell r="C2104" t="str">
            <v>Lokasi pekerjaan : sepanjang jalan</v>
          </cell>
        </row>
        <row r="2105">
          <cell r="A2105">
            <v>3</v>
          </cell>
          <cell r="C2105" t="str">
            <v>Kondisi Jalan   :  sedang / baik</v>
          </cell>
        </row>
        <row r="2106">
          <cell r="A2106">
            <v>4</v>
          </cell>
          <cell r="C2106" t="str">
            <v>Jam kerja efektif per-hari</v>
          </cell>
          <cell r="G2106" t="str">
            <v>Tk</v>
          </cell>
          <cell r="H2106">
            <v>7</v>
          </cell>
          <cell r="I2106" t="str">
            <v>Jam</v>
          </cell>
        </row>
        <row r="2107">
          <cell r="A2107">
            <v>5</v>
          </cell>
          <cell r="C2107" t="str">
            <v>Faktor pengembangan bahan</v>
          </cell>
          <cell r="G2107" t="str">
            <v>Fk</v>
          </cell>
          <cell r="H2107">
            <v>1.24</v>
          </cell>
          <cell r="I2107" t="str">
            <v>-</v>
          </cell>
        </row>
        <row r="2110">
          <cell r="A2110" t="str">
            <v>II.</v>
          </cell>
          <cell r="C2110" t="str">
            <v>URUTAN KERJA</v>
          </cell>
        </row>
        <row r="2111">
          <cell r="A2111">
            <v>1</v>
          </cell>
          <cell r="C2111" t="str">
            <v>Aspal yg dikeruk umumnya berada di badan jalan</v>
          </cell>
        </row>
        <row r="2112">
          <cell r="A2112">
            <v>2</v>
          </cell>
          <cell r="C2112" t="str">
            <v xml:space="preserve">Pengerukan dilakukan dengan Cold Milling </v>
          </cell>
        </row>
        <row r="2113">
          <cell r="C2113" t="str">
            <v xml:space="preserve">dimuat ke dlm Truk </v>
          </cell>
        </row>
        <row r="2114">
          <cell r="A2114">
            <v>3</v>
          </cell>
          <cell r="C2114" t="str">
            <v>Dump Truck membuang material hasil galian keluar</v>
          </cell>
        </row>
        <row r="2115">
          <cell r="C2115" t="str">
            <v>lokasi jalan sejauh :</v>
          </cell>
          <cell r="G2115" t="str">
            <v>L</v>
          </cell>
          <cell r="H2115">
            <v>5</v>
          </cell>
          <cell r="I2115" t="str">
            <v>Km</v>
          </cell>
        </row>
        <row r="2119">
          <cell r="A2119" t="str">
            <v>III.</v>
          </cell>
          <cell r="C2119" t="str">
            <v>PEMAKAIAN BAHAN, ALAT DAN TENAGA</v>
          </cell>
        </row>
        <row r="2121">
          <cell r="A2121" t="str">
            <v xml:space="preserve">   1.</v>
          </cell>
          <cell r="C2121" t="str">
            <v>BAHAN</v>
          </cell>
        </row>
        <row r="2122">
          <cell r="C2122" t="str">
            <v>Tidak ada bahan yang diperlukan</v>
          </cell>
        </row>
        <row r="2125">
          <cell r="A2125" t="str">
            <v xml:space="preserve">   2.</v>
          </cell>
          <cell r="C2125" t="str">
            <v>ALAT</v>
          </cell>
        </row>
        <row r="2126">
          <cell r="A2126" t="str">
            <v xml:space="preserve">   2.a.</v>
          </cell>
          <cell r="C2126" t="str">
            <v>COLD MILLING</v>
          </cell>
        </row>
        <row r="2127">
          <cell r="C2127" t="str">
            <v xml:space="preserve">Produksi teoritis per jam </v>
          </cell>
          <cell r="G2127" t="str">
            <v>q</v>
          </cell>
          <cell r="H2127">
            <v>300</v>
          </cell>
          <cell r="I2127" t="str">
            <v>m</v>
          </cell>
        </row>
        <row r="2128">
          <cell r="C2128" t="str">
            <v>Kapasitas lebar galian</v>
          </cell>
          <cell r="G2128" t="str">
            <v>b</v>
          </cell>
          <cell r="H2128">
            <v>1000</v>
          </cell>
          <cell r="I2128" t="str">
            <v>m</v>
          </cell>
        </row>
        <row r="2129">
          <cell r="C2129" t="str">
            <v>tebal galian</v>
          </cell>
          <cell r="G2129" t="str">
            <v>t</v>
          </cell>
          <cell r="H2129">
            <v>0.15</v>
          </cell>
          <cell r="I2129" t="str">
            <v>m</v>
          </cell>
        </row>
        <row r="2130">
          <cell r="C2130" t="str">
            <v>kecepatan</v>
          </cell>
          <cell r="G2130" t="str">
            <v>v</v>
          </cell>
          <cell r="H2130">
            <v>5</v>
          </cell>
          <cell r="I2130" t="str">
            <v>m/menit</v>
          </cell>
        </row>
        <row r="2131">
          <cell r="C2131" t="str">
            <v>Faktor effesiensi kerja</v>
          </cell>
          <cell r="G2131" t="str">
            <v>Fa</v>
          </cell>
          <cell r="H2131">
            <v>0.6</v>
          </cell>
          <cell r="J2131" t="str">
            <v>grafik cold</v>
          </cell>
          <cell r="Q2131" t="str">
            <v xml:space="preserve">JUMLAH HARGA BAHAN   </v>
          </cell>
          <cell r="U2131">
            <v>0</v>
          </cell>
        </row>
        <row r="2132">
          <cell r="J2132" t="str">
            <v>miling</v>
          </cell>
        </row>
        <row r="2133">
          <cell r="C2133" t="str">
            <v>Kapasitas prod/jam =</v>
          </cell>
          <cell r="E2133" t="str">
            <v>Fa x q x t x Fk</v>
          </cell>
          <cell r="G2133" t="str">
            <v>Q1</v>
          </cell>
          <cell r="H2133">
            <v>33.479999999999997</v>
          </cell>
          <cell r="I2133" t="str">
            <v>M3</v>
          </cell>
          <cell r="L2133" t="str">
            <v>C.</v>
          </cell>
          <cell r="N2133" t="str">
            <v>PERALATAN</v>
          </cell>
        </row>
        <row r="2134">
          <cell r="L2134" t="str">
            <v>1.</v>
          </cell>
          <cell r="N2134" t="str">
            <v>Cold Milling</v>
          </cell>
          <cell r="P2134" t="str">
            <v>Jam</v>
          </cell>
          <cell r="Q2134">
            <v>2.9868578255675033E-2</v>
          </cell>
          <cell r="R2134">
            <v>1163221.6447452162</v>
          </cell>
          <cell r="U2134">
            <v>34743.776724767515</v>
          </cell>
        </row>
        <row r="2135">
          <cell r="C2135" t="str">
            <v>Koefisien Alat / m3</v>
          </cell>
          <cell r="D2135" t="str">
            <v xml:space="preserve"> =  1  :  Q1</v>
          </cell>
          <cell r="H2135">
            <v>2.9868578255675033E-2</v>
          </cell>
          <cell r="I2135" t="str">
            <v>Jam</v>
          </cell>
          <cell r="L2135">
            <v>2</v>
          </cell>
          <cell r="N2135" t="str">
            <v>Dump Truck</v>
          </cell>
          <cell r="O2135" t="str">
            <v>(E08)</v>
          </cell>
          <cell r="P2135" t="str">
            <v>Jam</v>
          </cell>
          <cell r="Q2135">
            <v>0.12969656403391344</v>
          </cell>
          <cell r="R2135">
            <v>153645.58193291764</v>
          </cell>
          <cell r="U2135">
            <v>19927.304055690547</v>
          </cell>
        </row>
        <row r="2138">
          <cell r="A2138" t="str">
            <v xml:space="preserve">   2.b.</v>
          </cell>
          <cell r="C2138" t="str">
            <v>DUMP TRUCK</v>
          </cell>
          <cell r="G2138" t="str">
            <v>(E08)</v>
          </cell>
        </row>
        <row r="2139">
          <cell r="C2139" t="str">
            <v>Kapasitas bak</v>
          </cell>
          <cell r="G2139" t="str">
            <v>V</v>
          </cell>
          <cell r="H2139">
            <v>4</v>
          </cell>
          <cell r="I2139" t="str">
            <v>M3</v>
          </cell>
        </row>
        <row r="2140">
          <cell r="C2140" t="str">
            <v>Faktor  efisiensi alat</v>
          </cell>
          <cell r="G2140" t="str">
            <v>Fa</v>
          </cell>
          <cell r="H2140">
            <v>0.83</v>
          </cell>
          <cell r="I2140" t="str">
            <v>-</v>
          </cell>
          <cell r="Q2140" t="str">
            <v xml:space="preserve">JUMLAH HARGA PERALATAN   </v>
          </cell>
          <cell r="U2140">
            <v>54671.080780458062</v>
          </cell>
        </row>
        <row r="2141">
          <cell r="C2141" t="str">
            <v>Kecepatan rata-rata bermuatan</v>
          </cell>
          <cell r="G2141" t="str">
            <v>v1</v>
          </cell>
          <cell r="H2141">
            <v>45</v>
          </cell>
          <cell r="I2141" t="str">
            <v>KM/Jam</v>
          </cell>
        </row>
        <row r="2142">
          <cell r="C2142" t="str">
            <v>Kecepatan rata-rata kosong</v>
          </cell>
          <cell r="G2142" t="str">
            <v>v2</v>
          </cell>
          <cell r="H2142">
            <v>60</v>
          </cell>
          <cell r="I2142" t="str">
            <v>KM/Jam</v>
          </cell>
          <cell r="L2142" t="str">
            <v>D.</v>
          </cell>
          <cell r="N2142" t="str">
            <v>JUMLAH HARGA TENAGA, BAHAN DAN PERALATAN  ( A + B + C )</v>
          </cell>
          <cell r="U2142">
            <v>54937.764472214338</v>
          </cell>
        </row>
        <row r="2143">
          <cell r="C2143" t="str">
            <v>Waktu  siklus</v>
          </cell>
          <cell r="G2143" t="str">
            <v>Ts1</v>
          </cell>
          <cell r="I2143" t="str">
            <v>menit</v>
          </cell>
          <cell r="L2143" t="str">
            <v>E.</v>
          </cell>
          <cell r="N2143" t="str">
            <v>OVERHEAD &amp; PROFIT</v>
          </cell>
          <cell r="P2143">
            <v>10</v>
          </cell>
          <cell r="Q2143" t="str">
            <v>%  x  D</v>
          </cell>
          <cell r="U2143">
            <v>5493.776447221434</v>
          </cell>
        </row>
        <row r="2144">
          <cell r="C2144" t="str">
            <v>- Waktu tempuh isi</v>
          </cell>
          <cell r="E2144" t="str">
            <v>=   (L  :  v1)  x  60</v>
          </cell>
          <cell r="G2144" t="str">
            <v>T1</v>
          </cell>
          <cell r="H2144">
            <v>6.6666666666666661</v>
          </cell>
          <cell r="I2144" t="str">
            <v>menit</v>
          </cell>
          <cell r="L2144" t="str">
            <v>F.</v>
          </cell>
          <cell r="N2144" t="str">
            <v>HARGA SATUAN PEKERJAAN  ( D + E )</v>
          </cell>
          <cell r="U2144">
            <v>60431.540919435771</v>
          </cell>
        </row>
        <row r="2145">
          <cell r="C2145" t="str">
            <v>- Waktu tempuh kosong</v>
          </cell>
          <cell r="E2145" t="str">
            <v>=   (L  :  v2)  x  60</v>
          </cell>
          <cell r="G2145" t="str">
            <v>T2</v>
          </cell>
          <cell r="H2145">
            <v>5</v>
          </cell>
          <cell r="I2145" t="str">
            <v>menit</v>
          </cell>
          <cell r="L2145" t="str">
            <v>Note: 1</v>
          </cell>
          <cell r="N2145" t="str">
            <v>SATUAN dapat berdasarkan atas jam operasi untuk Tenaga Kerja dan Peralatan, volume dan/atau ukuran</v>
          </cell>
        </row>
        <row r="2146">
          <cell r="C2146" t="str">
            <v>- Muat</v>
          </cell>
          <cell r="E2146" t="str">
            <v>=   (V  :  Q1) x 60</v>
          </cell>
          <cell r="G2146" t="str">
            <v>T3</v>
          </cell>
          <cell r="H2146">
            <v>7.1684587813620082</v>
          </cell>
          <cell r="I2146" t="str">
            <v>menit</v>
          </cell>
          <cell r="N2146" t="str">
            <v>berat untuk bahan-bahan.</v>
          </cell>
        </row>
        <row r="2147">
          <cell r="C2147" t="str">
            <v>- Lain-lain</v>
          </cell>
          <cell r="G2147" t="str">
            <v>T4</v>
          </cell>
          <cell r="H2147">
            <v>2</v>
          </cell>
          <cell r="I2147" t="str">
            <v>menit</v>
          </cell>
          <cell r="L2147">
            <v>2</v>
          </cell>
          <cell r="N2147" t="str">
            <v>Kuantitas satuan adalah kuantitas setiap komponen untuk menyelesaikan satu satuan pekerjaan dari nomor</v>
          </cell>
        </row>
        <row r="2148">
          <cell r="G2148" t="str">
            <v>Ts1</v>
          </cell>
          <cell r="H2148">
            <v>20.835125448028673</v>
          </cell>
          <cell r="I2148" t="str">
            <v>menit</v>
          </cell>
          <cell r="N2148" t="str">
            <v>mata pembayaran.</v>
          </cell>
        </row>
        <row r="2149">
          <cell r="L2149">
            <v>3</v>
          </cell>
          <cell r="N2149" t="str">
            <v>Biaya satuan untuk peralatan sudah termasuk bahan bakar, bahan habis dipakai dan operator.</v>
          </cell>
        </row>
        <row r="2150">
          <cell r="L2150">
            <v>4</v>
          </cell>
          <cell r="N2150" t="str">
            <v>Biaya satuan sudah termasuk pengeluaran untuk seluruh pajak yang berkaitan (tetapi tidak termasuk PPN</v>
          </cell>
        </row>
        <row r="2151">
          <cell r="C2151" t="str">
            <v>Kapasitas Produksi / Jam   =</v>
          </cell>
          <cell r="E2151" t="str">
            <v>V x Fa x 60</v>
          </cell>
          <cell r="G2151" t="str">
            <v>Q2</v>
          </cell>
          <cell r="H2151">
            <v>7.7103044899363491</v>
          </cell>
          <cell r="I2151" t="str">
            <v xml:space="preserve">M3 / Jam </v>
          </cell>
          <cell r="N2151" t="str">
            <v>yang dibayar dari kontrak) dan biaya-biaya lainnya.</v>
          </cell>
        </row>
        <row r="2152">
          <cell r="E2152" t="str">
            <v xml:space="preserve">    Fk x Ts1</v>
          </cell>
        </row>
        <row r="2155">
          <cell r="C2155" t="str">
            <v>Koefisien Alat / m3</v>
          </cell>
          <cell r="D2155" t="str">
            <v xml:space="preserve"> =  1  :  Q2</v>
          </cell>
          <cell r="G2155" t="str">
            <v>(E08)</v>
          </cell>
          <cell r="H2155">
            <v>0.12969656403391344</v>
          </cell>
          <cell r="I2155" t="str">
            <v>Jam</v>
          </cell>
        </row>
        <row r="2160">
          <cell r="J2160" t="str">
            <v>Berlanjut ke halaman berikut</v>
          </cell>
        </row>
        <row r="2161">
          <cell r="A2161" t="str">
            <v>ITEM PEMBAYARAN NO.</v>
          </cell>
          <cell r="D2161" t="str">
            <v>:  3.1.(7)</v>
          </cell>
          <cell r="J2161" t="str">
            <v>Analisa EI-312</v>
          </cell>
        </row>
        <row r="2162">
          <cell r="A2162" t="str">
            <v>JENIS PEKERJAAN</v>
          </cell>
          <cell r="D2162" t="str">
            <v>:  Pembongk Perk Beraspal dg Cold Milling Machine</v>
          </cell>
        </row>
        <row r="2163">
          <cell r="A2163" t="str">
            <v>SATUAN PEMBAYARAN</v>
          </cell>
          <cell r="D2163" t="str">
            <v>:  M3</v>
          </cell>
          <cell r="H2163" t="str">
            <v xml:space="preserve">         URAIAN ANALISA HARGA SATUAN</v>
          </cell>
        </row>
        <row r="2164">
          <cell r="J2164" t="str">
            <v>Lanjutan</v>
          </cell>
        </row>
        <row r="2166">
          <cell r="A2166" t="str">
            <v>No.</v>
          </cell>
          <cell r="C2166" t="str">
            <v>U R A I A N</v>
          </cell>
          <cell r="G2166" t="str">
            <v>KODE</v>
          </cell>
          <cell r="H2166" t="str">
            <v>KOEF.</v>
          </cell>
          <cell r="I2166" t="str">
            <v>SATUAN</v>
          </cell>
          <cell r="J2166" t="str">
            <v>KETERANGAN</v>
          </cell>
        </row>
        <row r="2169">
          <cell r="A2169" t="str">
            <v xml:space="preserve"> 2.c</v>
          </cell>
          <cell r="C2169" t="str">
            <v>ALAT  BANTU</v>
          </cell>
        </row>
        <row r="2170">
          <cell r="C2170" t="str">
            <v>Diperlukan alat-alat bantu kecil</v>
          </cell>
          <cell r="J2170" t="str">
            <v>Lump Sump</v>
          </cell>
        </row>
        <row r="2171">
          <cell r="C2171" t="str">
            <v>- Pahat / Tatah</v>
          </cell>
          <cell r="D2171" t="str">
            <v>=  2  buah</v>
          </cell>
        </row>
        <row r="2172">
          <cell r="C2172" t="str">
            <v>- Palu Besar</v>
          </cell>
          <cell r="D2172" t="str">
            <v>=  2  buah</v>
          </cell>
        </row>
        <row r="2174">
          <cell r="A2174" t="str">
            <v xml:space="preserve">   3.</v>
          </cell>
          <cell r="C2174" t="str">
            <v>TENAGA</v>
          </cell>
        </row>
        <row r="2175">
          <cell r="C2175" t="str">
            <v>Produksi menentukan : COLD MILLING</v>
          </cell>
          <cell r="G2175" t="str">
            <v>Q1</v>
          </cell>
          <cell r="H2175">
            <v>33.479999999999997</v>
          </cell>
          <cell r="I2175" t="str">
            <v>M3/Jam</v>
          </cell>
        </row>
        <row r="2176">
          <cell r="C2176" t="str">
            <v>Produksi Galian / hari  =  Tk x Q1</v>
          </cell>
          <cell r="G2176" t="str">
            <v>Qt</v>
          </cell>
          <cell r="H2176">
            <v>234.35999999999999</v>
          </cell>
          <cell r="I2176" t="str">
            <v>M2</v>
          </cell>
        </row>
        <row r="2177">
          <cell r="C2177" t="str">
            <v>Kebutuhan tenaga :</v>
          </cell>
        </row>
        <row r="2178">
          <cell r="D2178" t="str">
            <v>- Pekerja</v>
          </cell>
          <cell r="G2178" t="str">
            <v>P</v>
          </cell>
          <cell r="H2178">
            <v>2</v>
          </cell>
          <cell r="I2178" t="str">
            <v>orang</v>
          </cell>
        </row>
        <row r="2179">
          <cell r="D2179" t="str">
            <v>- Mandor</v>
          </cell>
          <cell r="G2179" t="str">
            <v>M</v>
          </cell>
          <cell r="H2179">
            <v>1</v>
          </cell>
          <cell r="I2179" t="str">
            <v>orang</v>
          </cell>
        </row>
        <row r="2181">
          <cell r="C2181" t="str">
            <v>Koefisien tenaga / M3   :</v>
          </cell>
        </row>
        <row r="2182">
          <cell r="D2182" t="str">
            <v>- Pekerja</v>
          </cell>
          <cell r="E2182" t="str">
            <v>= (Tk x P) : Qt</v>
          </cell>
          <cell r="G2182" t="str">
            <v>(L01)</v>
          </cell>
          <cell r="H2182">
            <v>5.9737156511350066E-2</v>
          </cell>
          <cell r="I2182" t="str">
            <v>Jam</v>
          </cell>
        </row>
        <row r="2183">
          <cell r="D2183" t="str">
            <v>- Mandor</v>
          </cell>
          <cell r="E2183" t="str">
            <v>= (Tk x M) : Qt</v>
          </cell>
          <cell r="G2183" t="str">
            <v>(L03)</v>
          </cell>
          <cell r="H2183">
            <v>2.9868578255675033E-2</v>
          </cell>
          <cell r="I2183" t="str">
            <v>Jam</v>
          </cell>
        </row>
        <row r="2185">
          <cell r="A2185" t="str">
            <v>4.</v>
          </cell>
          <cell r="C2185" t="str">
            <v>HARGA DASAR SATUAN UPAH, BAHAN DAN ALAT</v>
          </cell>
        </row>
        <row r="2186">
          <cell r="C2186" t="str">
            <v>Lihat lampiran.</v>
          </cell>
        </row>
        <row r="2188">
          <cell r="A2188" t="str">
            <v>5.</v>
          </cell>
          <cell r="C2188" t="str">
            <v>ANALISA HARGA SATUAN PEKERJAAN</v>
          </cell>
        </row>
        <row r="2189">
          <cell r="C2189" t="str">
            <v>Lihat perhitungan dalam FORMULIR STANDAR UNTUK</v>
          </cell>
        </row>
        <row r="2190">
          <cell r="C2190" t="str">
            <v>PEREKEMAN ANALISA MASING-MASING HARGA</v>
          </cell>
        </row>
        <row r="2191">
          <cell r="C2191" t="str">
            <v>SATUAN.</v>
          </cell>
        </row>
        <row r="2192">
          <cell r="C2192" t="str">
            <v>Didapat Harga Satuan Pekerjaan :</v>
          </cell>
        </row>
        <row r="2194">
          <cell r="C2194" t="str">
            <v xml:space="preserve">Rp.  </v>
          </cell>
          <cell r="D2194">
            <v>60431.540919435771</v>
          </cell>
          <cell r="E2194" t="str">
            <v xml:space="preserve"> / M2</v>
          </cell>
        </row>
        <row r="2197">
          <cell r="A2197" t="str">
            <v>6.</v>
          </cell>
          <cell r="C2197" t="str">
            <v>WAKTU PELAKSANAAN YANG DIPERLUKAN</v>
          </cell>
        </row>
        <row r="2198">
          <cell r="C2198" t="str">
            <v>Masa Pelaksanaan :</v>
          </cell>
          <cell r="D2198" t="str">
            <v>. . . . . . . . . . . .</v>
          </cell>
          <cell r="E2198" t="str">
            <v>bulan</v>
          </cell>
        </row>
        <row r="2200">
          <cell r="A2200" t="str">
            <v>7.</v>
          </cell>
          <cell r="C2200" t="str">
            <v>VOLUME PEKERJAAN YANG DIPERLUKAN</v>
          </cell>
        </row>
        <row r="2201">
          <cell r="C2201" t="str">
            <v>Volume pekerjaan  :</v>
          </cell>
          <cell r="D2201">
            <v>0</v>
          </cell>
          <cell r="E2201" t="str">
            <v>M3</v>
          </cell>
        </row>
        <row r="2217">
          <cell r="A2217" t="str">
            <v>ITEM PEMBAYARAN NO.</v>
          </cell>
          <cell r="D2217" t="str">
            <v>:  3.1.(8)</v>
          </cell>
          <cell r="J2217" t="str">
            <v>=T2272</v>
          </cell>
        </row>
        <row r="2218">
          <cell r="A2218" t="str">
            <v>JENIS PEKERJAAN</v>
          </cell>
          <cell r="D2218" t="str">
            <v>:  Pembongk Perk Beraspal tanpa Cold Milling Machine</v>
          </cell>
        </row>
        <row r="2219">
          <cell r="A2219" t="str">
            <v>SATUAN PEMBAYARAN</v>
          </cell>
          <cell r="D2219" t="str">
            <v>:  M3</v>
          </cell>
          <cell r="H2219" t="str">
            <v xml:space="preserve">         URAIAN ANALISA HARGA SATUAN</v>
          </cell>
        </row>
        <row r="2222">
          <cell r="A2222" t="str">
            <v>No.</v>
          </cell>
          <cell r="C2222" t="str">
            <v>U R A I A N</v>
          </cell>
          <cell r="G2222" t="str">
            <v>KODE</v>
          </cell>
          <cell r="H2222" t="str">
            <v>KOEF.</v>
          </cell>
          <cell r="I2222" t="str">
            <v>SATUAN</v>
          </cell>
          <cell r="J2222" t="str">
            <v>KETERANGAN</v>
          </cell>
        </row>
        <row r="2225">
          <cell r="A2225" t="str">
            <v>I.</v>
          </cell>
          <cell r="C2225" t="str">
            <v>ASUMSI</v>
          </cell>
        </row>
        <row r="2226">
          <cell r="A2226">
            <v>1</v>
          </cell>
          <cell r="C2226" t="str">
            <v>Pekerjaan dilakukan secara mekanik/manual</v>
          </cell>
        </row>
        <row r="2227">
          <cell r="A2227">
            <v>2</v>
          </cell>
          <cell r="C2227" t="str">
            <v>Lokasi pekerjaan : sepanjang jalan</v>
          </cell>
        </row>
        <row r="2228">
          <cell r="A2228">
            <v>3</v>
          </cell>
          <cell r="C2228" t="str">
            <v>Kondisi Jalan   :  sedang / baik</v>
          </cell>
        </row>
        <row r="2229">
          <cell r="A2229">
            <v>4</v>
          </cell>
          <cell r="C2229" t="str">
            <v>Jam kerja efektif per-hari</v>
          </cell>
          <cell r="G2229" t="str">
            <v>Tk</v>
          </cell>
          <cell r="H2229">
            <v>7</v>
          </cell>
          <cell r="I2229" t="str">
            <v>Jam</v>
          </cell>
        </row>
        <row r="2230">
          <cell r="A2230">
            <v>5</v>
          </cell>
          <cell r="C2230" t="str">
            <v>Faktor pengembangan bahan</v>
          </cell>
          <cell r="G2230" t="str">
            <v>Fk</v>
          </cell>
          <cell r="H2230">
            <v>1.24</v>
          </cell>
          <cell r="I2230" t="str">
            <v>-</v>
          </cell>
        </row>
        <row r="2233">
          <cell r="A2233" t="str">
            <v>II.</v>
          </cell>
          <cell r="C2233" t="str">
            <v>URUTAN KERJA</v>
          </cell>
        </row>
        <row r="2234">
          <cell r="A2234">
            <v>1</v>
          </cell>
          <cell r="C2234" t="str">
            <v>Aspal yg dikeruk umumnya berada di badan jalan</v>
          </cell>
        </row>
        <row r="2235">
          <cell r="A2235">
            <v>2</v>
          </cell>
          <cell r="C2235" t="str">
            <v>Pengerukan dilakukan dengan Jack Hammer dan</v>
          </cell>
        </row>
        <row r="2236">
          <cell r="C2236" t="str">
            <v>dimuat ke dalam truck secara manual</v>
          </cell>
        </row>
        <row r="2237">
          <cell r="A2237">
            <v>3</v>
          </cell>
          <cell r="C2237" t="str">
            <v>Dump Truck membuang material hasil galian keluar</v>
          </cell>
        </row>
        <row r="2238">
          <cell r="C2238" t="str">
            <v>lokasi jalan sejauh :</v>
          </cell>
          <cell r="G2238" t="str">
            <v>L</v>
          </cell>
          <cell r="H2238">
            <v>5</v>
          </cell>
          <cell r="I2238" t="str">
            <v>Km</v>
          </cell>
        </row>
        <row r="2242">
          <cell r="A2242" t="str">
            <v>III.</v>
          </cell>
          <cell r="C2242" t="str">
            <v>PEMAKAIAN BAHAN, ALAT DAN TENAGA</v>
          </cell>
        </row>
        <row r="2244">
          <cell r="A2244" t="str">
            <v xml:space="preserve">   1.</v>
          </cell>
          <cell r="C2244" t="str">
            <v>BAHAN</v>
          </cell>
        </row>
        <row r="2245">
          <cell r="C2245" t="str">
            <v>Tidak ada bahan yang diperlukan</v>
          </cell>
        </row>
        <row r="2248">
          <cell r="A2248" t="str">
            <v xml:space="preserve">   2.</v>
          </cell>
          <cell r="C2248" t="str">
            <v>ALAT</v>
          </cell>
        </row>
        <row r="2249">
          <cell r="A2249" t="str">
            <v xml:space="preserve">   2.a.</v>
          </cell>
          <cell r="C2249" t="str">
            <v>JACK HAMMER, COMPRESSOR</v>
          </cell>
        </row>
        <row r="2250">
          <cell r="C2250" t="str">
            <v>Produksi per jam</v>
          </cell>
          <cell r="G2250" t="str">
            <v>Q1</v>
          </cell>
          <cell r="H2250">
            <v>1</v>
          </cell>
          <cell r="I2250" t="str">
            <v>M3 / Jam</v>
          </cell>
        </row>
        <row r="2252">
          <cell r="C2252" t="str">
            <v>Koefisien Alat / m3</v>
          </cell>
          <cell r="D2252" t="str">
            <v xml:space="preserve"> =  1  :  Q1</v>
          </cell>
          <cell r="H2252">
            <v>1</v>
          </cell>
          <cell r="I2252" t="str">
            <v>Jam</v>
          </cell>
        </row>
        <row r="2255">
          <cell r="A2255" t="str">
            <v xml:space="preserve">   2.b.</v>
          </cell>
          <cell r="C2255" t="str">
            <v>DUMP TRUCK</v>
          </cell>
          <cell r="G2255" t="str">
            <v>(E08)</v>
          </cell>
        </row>
        <row r="2256">
          <cell r="C2256" t="str">
            <v>Kapasitas bak</v>
          </cell>
          <cell r="G2256" t="str">
            <v>V</v>
          </cell>
          <cell r="H2256">
            <v>4</v>
          </cell>
          <cell r="I2256" t="str">
            <v>M3</v>
          </cell>
        </row>
        <row r="2257">
          <cell r="C2257" t="str">
            <v>Faktor  efisiensi alat</v>
          </cell>
          <cell r="G2257" t="str">
            <v>Fa</v>
          </cell>
          <cell r="H2257">
            <v>0.83</v>
          </cell>
          <cell r="I2257" t="str">
            <v>-</v>
          </cell>
        </row>
        <row r="2258">
          <cell r="C2258" t="str">
            <v>Kecepatan rata-rata bermuatan</v>
          </cell>
          <cell r="G2258" t="str">
            <v>v1</v>
          </cell>
          <cell r="H2258">
            <v>45</v>
          </cell>
          <cell r="I2258" t="str">
            <v>KM/Jam</v>
          </cell>
        </row>
        <row r="2259">
          <cell r="C2259" t="str">
            <v>Kecepatan rata-rata kosong</v>
          </cell>
          <cell r="G2259" t="str">
            <v>v2</v>
          </cell>
          <cell r="H2259">
            <v>60</v>
          </cell>
          <cell r="I2259" t="str">
            <v>KM/Jam</v>
          </cell>
        </row>
        <row r="2260">
          <cell r="C2260" t="str">
            <v>Waktu  siklus</v>
          </cell>
          <cell r="G2260" t="str">
            <v>Ts1</v>
          </cell>
          <cell r="I2260" t="str">
            <v>menit</v>
          </cell>
        </row>
        <row r="2261">
          <cell r="C2261" t="str">
            <v>- Waktu tempuh isi</v>
          </cell>
          <cell r="E2261" t="str">
            <v>=   (L  :  v1)  x  60</v>
          </cell>
          <cell r="G2261" t="str">
            <v>T1</v>
          </cell>
          <cell r="H2261">
            <v>6.6666666666666661</v>
          </cell>
          <cell r="I2261" t="str">
            <v>menit</v>
          </cell>
        </row>
        <row r="2262">
          <cell r="C2262" t="str">
            <v>- Waktu tempuh kosong</v>
          </cell>
          <cell r="E2262" t="str">
            <v>=   (L  :  v2)  x  60</v>
          </cell>
          <cell r="G2262" t="str">
            <v>T2</v>
          </cell>
          <cell r="H2262">
            <v>5</v>
          </cell>
          <cell r="I2262" t="str">
            <v>menit</v>
          </cell>
        </row>
        <row r="2263">
          <cell r="C2263" t="str">
            <v>- Muat</v>
          </cell>
          <cell r="E2263" t="str">
            <v>=   (V  :  Q1) x 60</v>
          </cell>
          <cell r="G2263" t="str">
            <v>T3</v>
          </cell>
          <cell r="H2263">
            <v>240</v>
          </cell>
          <cell r="I2263" t="str">
            <v>menit</v>
          </cell>
        </row>
        <row r="2264">
          <cell r="C2264" t="str">
            <v>- Lain-lain</v>
          </cell>
          <cell r="G2264" t="str">
            <v>T4</v>
          </cell>
          <cell r="H2264">
            <v>2</v>
          </cell>
          <cell r="I2264" t="str">
            <v>menit</v>
          </cell>
        </row>
        <row r="2265">
          <cell r="G2265" t="str">
            <v>Ts1</v>
          </cell>
          <cell r="H2265">
            <v>253.66666666666666</v>
          </cell>
          <cell r="I2265" t="str">
            <v>menit</v>
          </cell>
        </row>
        <row r="2268">
          <cell r="C2268" t="str">
            <v>Kapasitas Produksi / Jam   =</v>
          </cell>
          <cell r="E2268" t="str">
            <v>V x Fa x 60</v>
          </cell>
          <cell r="G2268" t="str">
            <v>Q2</v>
          </cell>
          <cell r="H2268">
            <v>0.63329235725488531</v>
          </cell>
          <cell r="I2268" t="str">
            <v xml:space="preserve">M3 / Jam </v>
          </cell>
        </row>
        <row r="2269">
          <cell r="E2269" t="str">
            <v xml:space="preserve">    Fk x Ts1</v>
          </cell>
        </row>
        <row r="2272">
          <cell r="C2272" t="str">
            <v>Koefisien Alat / m3</v>
          </cell>
          <cell r="D2272" t="str">
            <v xml:space="preserve"> =  1  :  Q2</v>
          </cell>
          <cell r="G2272" t="str">
            <v>(E08)</v>
          </cell>
          <cell r="H2272">
            <v>1.5790495314591702</v>
          </cell>
          <cell r="I2272" t="str">
            <v>Jam</v>
          </cell>
        </row>
        <row r="2274">
          <cell r="C2274" t="str">
            <v xml:space="preserve"> </v>
          </cell>
        </row>
        <row r="2275">
          <cell r="C2275" t="str">
            <v xml:space="preserve"> </v>
          </cell>
        </row>
        <row r="2277">
          <cell r="J2277" t="str">
            <v>Berlanjut ke halaman berikut</v>
          </cell>
        </row>
        <row r="2278">
          <cell r="A2278" t="str">
            <v>ITEM PEMBAYARAN NO.</v>
          </cell>
          <cell r="D2278" t="str">
            <v>:  3.1.(8)</v>
          </cell>
          <cell r="J2278" t="str">
            <v>=T2272</v>
          </cell>
        </row>
        <row r="2279">
          <cell r="A2279" t="str">
            <v>JENIS PEKERJAAN</v>
          </cell>
          <cell r="D2279" t="str">
            <v>:  Pembongk Perk Beraspal tanpa Cold Milling Machine</v>
          </cell>
        </row>
        <row r="2280">
          <cell r="A2280" t="str">
            <v>SATUAN PEMBAYARAN</v>
          </cell>
          <cell r="D2280" t="str">
            <v>:  M3</v>
          </cell>
          <cell r="H2280" t="str">
            <v xml:space="preserve">         URAIAN ANALISA HARGA SATUAN</v>
          </cell>
        </row>
        <row r="2281">
          <cell r="J2281" t="str">
            <v>Lanjutan</v>
          </cell>
        </row>
        <row r="2283">
          <cell r="A2283" t="str">
            <v>No.</v>
          </cell>
          <cell r="C2283" t="str">
            <v>U R A I A N</v>
          </cell>
          <cell r="G2283" t="str">
            <v>KODE</v>
          </cell>
          <cell r="H2283" t="str">
            <v>KOEF.</v>
          </cell>
          <cell r="I2283" t="str">
            <v>SATUAN</v>
          </cell>
          <cell r="J2283" t="str">
            <v>KETERANGAN</v>
          </cell>
        </row>
        <row r="2286">
          <cell r="A2286" t="str">
            <v xml:space="preserve"> 2.c</v>
          </cell>
          <cell r="C2286" t="str">
            <v>ALAT  BANTU</v>
          </cell>
        </row>
        <row r="2287">
          <cell r="C2287" t="str">
            <v>Diperlukan alat-alat bantu kecil</v>
          </cell>
          <cell r="J2287" t="str">
            <v>Lump Sump</v>
          </cell>
        </row>
        <row r="2288">
          <cell r="C2288" t="str">
            <v>- Sekop</v>
          </cell>
          <cell r="D2288" t="str">
            <v>= 2 buah</v>
          </cell>
        </row>
        <row r="2289">
          <cell r="C2289" t="str">
            <v>- Kereta Sorong</v>
          </cell>
          <cell r="D2289" t="str">
            <v>= 2 buah</v>
          </cell>
        </row>
        <row r="2291">
          <cell r="A2291" t="str">
            <v xml:space="preserve">   3.</v>
          </cell>
          <cell r="C2291" t="str">
            <v>TENAGA</v>
          </cell>
        </row>
        <row r="2292">
          <cell r="C2292" t="str">
            <v>Produksi menentukan : Jack Hammer</v>
          </cell>
          <cell r="G2292" t="str">
            <v>Q1</v>
          </cell>
          <cell r="H2292">
            <v>1</v>
          </cell>
          <cell r="I2292" t="str">
            <v>M3/Jam</v>
          </cell>
        </row>
        <row r="2293">
          <cell r="C2293" t="str">
            <v>Produksi Galian / hari  =  Tk x Q1</v>
          </cell>
          <cell r="G2293" t="str">
            <v>Qt</v>
          </cell>
          <cell r="H2293">
            <v>7</v>
          </cell>
          <cell r="I2293" t="str">
            <v>M3</v>
          </cell>
        </row>
        <row r="2294">
          <cell r="C2294" t="str">
            <v>Kebutuhan tenaga :</v>
          </cell>
        </row>
        <row r="2295">
          <cell r="D2295" t="str">
            <v>- Pekerja</v>
          </cell>
          <cell r="G2295" t="str">
            <v>P</v>
          </cell>
          <cell r="H2295">
            <v>2</v>
          </cell>
          <cell r="I2295" t="str">
            <v>orang</v>
          </cell>
        </row>
        <row r="2296">
          <cell r="D2296" t="str">
            <v>- Mandor</v>
          </cell>
          <cell r="G2296" t="str">
            <v>M</v>
          </cell>
          <cell r="H2296">
            <v>1</v>
          </cell>
          <cell r="I2296" t="str">
            <v>orang</v>
          </cell>
        </row>
        <row r="2298">
          <cell r="C2298" t="str">
            <v>Koefisien tenaga / M3   :</v>
          </cell>
        </row>
        <row r="2299">
          <cell r="D2299" t="str">
            <v>- Pekerja</v>
          </cell>
          <cell r="E2299" t="str">
            <v>= (Tk x P) : Qt</v>
          </cell>
          <cell r="G2299" t="str">
            <v>(L01)</v>
          </cell>
          <cell r="H2299">
            <v>2</v>
          </cell>
          <cell r="I2299" t="str">
            <v>Jam</v>
          </cell>
        </row>
        <row r="2300">
          <cell r="D2300" t="str">
            <v>- Mandor</v>
          </cell>
          <cell r="E2300" t="str">
            <v>= (Tk x M) : Qt</v>
          </cell>
          <cell r="G2300" t="str">
            <v>(L03)</v>
          </cell>
          <cell r="H2300">
            <v>1</v>
          </cell>
          <cell r="I2300" t="str">
            <v>Jam</v>
          </cell>
        </row>
        <row r="2302">
          <cell r="A2302" t="str">
            <v>4.</v>
          </cell>
          <cell r="C2302" t="str">
            <v>HARGA DASAR SATUAN UPAH, BAHAN DAN ALAT</v>
          </cell>
        </row>
        <row r="2303">
          <cell r="C2303" t="str">
            <v>Lihat lampiran.</v>
          </cell>
        </row>
        <row r="2305">
          <cell r="A2305" t="str">
            <v>5.</v>
          </cell>
          <cell r="C2305" t="str">
            <v>ANALISA HARGA SATUAN PEKERJAAN</v>
          </cell>
        </row>
        <row r="2306">
          <cell r="C2306" t="str">
            <v>Lihat perhitungan dalam FORMULIR STANDAR UNTUK</v>
          </cell>
        </row>
        <row r="2307">
          <cell r="C2307" t="str">
            <v>PEREKEMAN ANALISA MASING-MASING HARGA</v>
          </cell>
        </row>
        <row r="2308">
          <cell r="C2308" t="str">
            <v>SATUAN.</v>
          </cell>
        </row>
        <row r="2309">
          <cell r="C2309" t="str">
            <v>Didapat Harga Satuan Pekerjaan :</v>
          </cell>
        </row>
        <row r="2311">
          <cell r="C2311" t="str">
            <v xml:space="preserve">Rp.  </v>
          </cell>
          <cell r="D2311">
            <v>1633771.8260014895</v>
          </cell>
          <cell r="E2311" t="str">
            <v xml:space="preserve"> / M2</v>
          </cell>
        </row>
        <row r="2314">
          <cell r="A2314" t="str">
            <v>6.</v>
          </cell>
          <cell r="C2314" t="str">
            <v>WAKTU PELAKSANAAN YANG DIPERLUKAN</v>
          </cell>
        </row>
        <row r="2315">
          <cell r="C2315" t="str">
            <v>Masa Pelaksanaan :</v>
          </cell>
          <cell r="D2315" t="str">
            <v>. . . . . . . . . . . .</v>
          </cell>
          <cell r="E2315" t="str">
            <v>bulan</v>
          </cell>
        </row>
        <row r="2317">
          <cell r="A2317" t="str">
            <v>7.</v>
          </cell>
          <cell r="C2317" t="str">
            <v>VOLUME PEKERJAAN YANG DIPERLUKAN</v>
          </cell>
        </row>
        <row r="2318">
          <cell r="C2318" t="str">
            <v>Volume pekerjaan  :</v>
          </cell>
          <cell r="D2318">
            <v>0</v>
          </cell>
          <cell r="E2318" t="str">
            <v>M3</v>
          </cell>
        </row>
        <row r="2335">
          <cell r="A2335" t="str">
            <v>ITEM PEMBAYARAN NO.</v>
          </cell>
          <cell r="D2335" t="str">
            <v xml:space="preserve">:  3.4 </v>
          </cell>
          <cell r="J2335" t="str">
            <v>Analisa EI-312</v>
          </cell>
          <cell r="T2335" t="str">
            <v>Analisa EI-312</v>
          </cell>
        </row>
        <row r="2336">
          <cell r="A2336" t="str">
            <v>JENIS PEKERJAAN</v>
          </cell>
          <cell r="D2336" t="str">
            <v>:  Pengupasan Permukaan Aspal Lama dan Pencampuran Kembali</v>
          </cell>
        </row>
        <row r="2337">
          <cell r="A2337" t="str">
            <v>SATUAN PEMBAYARAN</v>
          </cell>
          <cell r="D2337" t="str">
            <v>:  M2</v>
          </cell>
          <cell r="H2337" t="str">
            <v xml:space="preserve">         URAIAN ANALISA HARGA SATUAN</v>
          </cell>
          <cell r="L2337" t="str">
            <v>FORMULIR STANDAR UNTUK</v>
          </cell>
        </row>
        <row r="2338">
          <cell r="L2338" t="str">
            <v>PEREKAMAN ANALISA MASING-MASING HARGA SATUAN</v>
          </cell>
        </row>
        <row r="2339">
          <cell r="L2339" t="str">
            <v xml:space="preserve">                                                                                                            </v>
          </cell>
        </row>
        <row r="2340">
          <cell r="A2340" t="str">
            <v>No.</v>
          </cell>
          <cell r="C2340" t="str">
            <v>U R A I A N</v>
          </cell>
          <cell r="G2340" t="str">
            <v>KODE</v>
          </cell>
          <cell r="H2340" t="str">
            <v>KOEF.</v>
          </cell>
          <cell r="I2340" t="str">
            <v>SATUAN</v>
          </cell>
          <cell r="J2340" t="str">
            <v>KETERANGAN</v>
          </cell>
        </row>
        <row r="2342">
          <cell r="L2342" t="str">
            <v>PROYEK</v>
          </cell>
          <cell r="O2342" t="str">
            <v>:</v>
          </cell>
        </row>
        <row r="2343">
          <cell r="A2343" t="str">
            <v>I.</v>
          </cell>
          <cell r="C2343" t="str">
            <v>ASUMSI</v>
          </cell>
          <cell r="L2343" t="str">
            <v>No. PAKET KONTRAK</v>
          </cell>
          <cell r="O2343" t="str">
            <v>:</v>
          </cell>
        </row>
        <row r="2344">
          <cell r="A2344">
            <v>1</v>
          </cell>
          <cell r="C2344" t="str">
            <v>Pekerjaan dilakukan secara mekananik</v>
          </cell>
          <cell r="L2344" t="str">
            <v>NAMA PAKET</v>
          </cell>
          <cell r="O2344" t="str">
            <v>:</v>
          </cell>
        </row>
        <row r="2345">
          <cell r="A2345">
            <v>2</v>
          </cell>
          <cell r="C2345" t="str">
            <v>Lokasi pekerjaan : sepanjang jalan</v>
          </cell>
          <cell r="L2345" t="str">
            <v>PROP / KAB / KODYA</v>
          </cell>
          <cell r="O2345" t="str">
            <v>:</v>
          </cell>
        </row>
        <row r="2346">
          <cell r="A2346">
            <v>3</v>
          </cell>
          <cell r="C2346" t="str">
            <v>Kondisi Jalan   :  sedang / baik</v>
          </cell>
          <cell r="L2346" t="str">
            <v>ITEM PEMBAYARAN NO.</v>
          </cell>
          <cell r="O2346" t="str">
            <v xml:space="preserve">:  3.4 </v>
          </cell>
          <cell r="R2346" t="str">
            <v>PERKIRAAN VOL. PEK.</v>
          </cell>
          <cell r="T2346" t="str">
            <v>:</v>
          </cell>
          <cell r="U2346">
            <v>0</v>
          </cell>
        </row>
        <row r="2347">
          <cell r="A2347">
            <v>4</v>
          </cell>
          <cell r="C2347" t="str">
            <v>Jam kerja efektif per-hari</v>
          </cell>
          <cell r="G2347" t="str">
            <v>Tk</v>
          </cell>
          <cell r="H2347">
            <v>7</v>
          </cell>
          <cell r="I2347" t="str">
            <v>Jam</v>
          </cell>
          <cell r="L2347" t="str">
            <v>JENIS PEKERJAAN</v>
          </cell>
          <cell r="O2347" t="str">
            <v>:  Pengupasan Permukaan Aspal Lama dan Pencampuran Kembali</v>
          </cell>
          <cell r="R2347" t="str">
            <v>TOTAL HARGA (Rp.)</v>
          </cell>
          <cell r="T2347" t="str">
            <v>:</v>
          </cell>
          <cell r="U2347">
            <v>0</v>
          </cell>
        </row>
        <row r="2348">
          <cell r="A2348">
            <v>5</v>
          </cell>
          <cell r="C2348" t="str">
            <v>Faktor pengembangan bahan</v>
          </cell>
          <cell r="G2348" t="str">
            <v>Fk</v>
          </cell>
          <cell r="H2348">
            <v>1.24</v>
          </cell>
          <cell r="I2348" t="str">
            <v>-</v>
          </cell>
          <cell r="L2348" t="str">
            <v>SATUAN PEMBAYARAN</v>
          </cell>
          <cell r="O2348" t="str">
            <v>:  M2</v>
          </cell>
          <cell r="R2348" t="str">
            <v>% THD. BIAYA PROYEK</v>
          </cell>
          <cell r="T2348" t="str">
            <v>:</v>
          </cell>
          <cell r="U2348" t="e">
            <v>#DIV/0!</v>
          </cell>
        </row>
        <row r="2349">
          <cell r="A2349">
            <v>6</v>
          </cell>
          <cell r="C2349" t="str">
            <v>Tebal penggaruan 15 cm</v>
          </cell>
        </row>
        <row r="2351">
          <cell r="A2351" t="str">
            <v>II.</v>
          </cell>
          <cell r="C2351" t="str">
            <v>URUTAN KERJA</v>
          </cell>
          <cell r="Q2351" t="str">
            <v>PERKIRAAN</v>
          </cell>
          <cell r="R2351" t="str">
            <v>HARGA</v>
          </cell>
          <cell r="S2351" t="str">
            <v>JUMLAH</v>
          </cell>
        </row>
        <row r="2352">
          <cell r="A2352">
            <v>1</v>
          </cell>
          <cell r="C2352" t="str">
            <v>Penggaruan perkerasan dengan alat cold recycler</v>
          </cell>
          <cell r="L2352" t="str">
            <v>NO.</v>
          </cell>
          <cell r="N2352" t="str">
            <v>KOMPONEN</v>
          </cell>
          <cell r="P2352" t="str">
            <v>SATUAN</v>
          </cell>
          <cell r="Q2352" t="str">
            <v>KUANTITAS</v>
          </cell>
          <cell r="R2352" t="str">
            <v>SATUAN</v>
          </cell>
          <cell r="S2352" t="str">
            <v>HARGA</v>
          </cell>
        </row>
        <row r="2353">
          <cell r="A2353">
            <v>2</v>
          </cell>
          <cell r="C2353" t="str">
            <v xml:space="preserve">Pencampuran kembali dengan bahan pengikat di dalam </v>
          </cell>
          <cell r="R2353" t="str">
            <v>(Rp.)</v>
          </cell>
          <cell r="S2353" t="str">
            <v>(Rp.)</v>
          </cell>
        </row>
        <row r="2354">
          <cell r="C2354" t="str">
            <v>cold recycler</v>
          </cell>
        </row>
        <row r="2355">
          <cell r="A2355">
            <v>3</v>
          </cell>
          <cell r="C2355" t="str">
            <v>Penghamparan langsung dari alat cold recycler</v>
          </cell>
        </row>
        <row r="2356">
          <cell r="A2356">
            <v>4</v>
          </cell>
          <cell r="C2356" t="str">
            <v>Pemadatan dengan alat pemadat tandem roller</v>
          </cell>
          <cell r="G2356" t="str">
            <v xml:space="preserve"> </v>
          </cell>
          <cell r="H2356" t="str">
            <v xml:space="preserve"> </v>
          </cell>
          <cell r="I2356" t="str">
            <v xml:space="preserve"> </v>
          </cell>
          <cell r="L2356" t="str">
            <v>A.</v>
          </cell>
          <cell r="N2356" t="str">
            <v>TENAGA</v>
          </cell>
        </row>
        <row r="2358">
          <cell r="L2358" t="str">
            <v>1.</v>
          </cell>
          <cell r="N2358" t="str">
            <v>Pekerja</v>
          </cell>
          <cell r="O2358" t="str">
            <v>(L01)</v>
          </cell>
          <cell r="P2358" t="str">
            <v>Jam</v>
          </cell>
          <cell r="Q2358">
            <v>2</v>
          </cell>
          <cell r="R2358">
            <v>2857.14</v>
          </cell>
          <cell r="U2358">
            <v>5714.28</v>
          </cell>
        </row>
        <row r="2359">
          <cell r="L2359" t="str">
            <v>2.</v>
          </cell>
          <cell r="N2359" t="str">
            <v>Mandor</v>
          </cell>
          <cell r="O2359" t="str">
            <v>(L03)</v>
          </cell>
          <cell r="P2359" t="str">
            <v>Jam</v>
          </cell>
          <cell r="Q2359">
            <v>0.5</v>
          </cell>
          <cell r="R2359">
            <v>3214.29</v>
          </cell>
          <cell r="U2359">
            <v>1607.145</v>
          </cell>
        </row>
        <row r="2360">
          <cell r="A2360" t="str">
            <v>III.</v>
          </cell>
          <cell r="C2360" t="str">
            <v>PEMAKAIAN BAHAN, ALAT DAN TENAGA</v>
          </cell>
        </row>
        <row r="2362">
          <cell r="A2362" t="str">
            <v xml:space="preserve">   1.</v>
          </cell>
          <cell r="C2362" t="str">
            <v>BAHAN</v>
          </cell>
          <cell r="Q2362" t="str">
            <v xml:space="preserve">JUMLAH HARGA TENAGA   </v>
          </cell>
          <cell r="U2362">
            <v>7321.4249999999993</v>
          </cell>
        </row>
        <row r="2363">
          <cell r="C2363" t="str">
            <v xml:space="preserve">Bahan pengikat (semen, aspal dan air) </v>
          </cell>
        </row>
        <row r="2364">
          <cell r="C2364" t="str">
            <v>- semen</v>
          </cell>
          <cell r="D2364">
            <v>0.06</v>
          </cell>
          <cell r="L2364" t="str">
            <v>B.</v>
          </cell>
          <cell r="N2364" t="str">
            <v>BAHAN</v>
          </cell>
        </row>
        <row r="2365">
          <cell r="C2365" t="str">
            <v>- aspal</v>
          </cell>
          <cell r="D2365">
            <v>0.03</v>
          </cell>
        </row>
        <row r="2366">
          <cell r="C2366" t="str">
            <v>- air</v>
          </cell>
        </row>
        <row r="2368">
          <cell r="A2368" t="str">
            <v xml:space="preserve">   2.</v>
          </cell>
          <cell r="C2368" t="str">
            <v>ALAT</v>
          </cell>
        </row>
        <row r="2369">
          <cell r="A2369" t="str">
            <v xml:space="preserve">   2.a.</v>
          </cell>
          <cell r="C2369" t="str">
            <v>COLD RECYCLER</v>
          </cell>
          <cell r="J2369" t="str">
            <v xml:space="preserve"> (E05/26/10/15)</v>
          </cell>
        </row>
        <row r="2370">
          <cell r="C2370" t="str">
            <v>Produksi per jam</v>
          </cell>
          <cell r="G2370" t="str">
            <v>Q1</v>
          </cell>
          <cell r="H2370">
            <v>2</v>
          </cell>
          <cell r="I2370" t="str">
            <v>M3 / Jam</v>
          </cell>
        </row>
        <row r="2372">
          <cell r="C2372" t="str">
            <v>Koefisien Alat / m3</v>
          </cell>
          <cell r="D2372" t="str">
            <v xml:space="preserve"> =  1  :  Q1</v>
          </cell>
          <cell r="G2372" t="str">
            <v>(E05/26)</v>
          </cell>
          <cell r="H2372">
            <v>0.5</v>
          </cell>
          <cell r="I2372" t="str">
            <v>Jam</v>
          </cell>
        </row>
        <row r="2375">
          <cell r="A2375" t="str">
            <v xml:space="preserve">   2.b.</v>
          </cell>
          <cell r="C2375" t="str">
            <v>WATER TANKER</v>
          </cell>
          <cell r="G2375" t="str">
            <v>(E08)</v>
          </cell>
        </row>
        <row r="2378">
          <cell r="A2378" t="str">
            <v xml:space="preserve">   2.c.</v>
          </cell>
          <cell r="C2378" t="str">
            <v>ASPHALT TANKER</v>
          </cell>
        </row>
        <row r="2381">
          <cell r="A2381" t="str">
            <v xml:space="preserve">   2.d.</v>
          </cell>
          <cell r="C2381" t="str">
            <v>CEMENT TANKER</v>
          </cell>
        </row>
        <row r="2397">
          <cell r="J2397" t="str">
            <v>Berlanjut ke halaman berikut</v>
          </cell>
        </row>
        <row r="2398">
          <cell r="A2398" t="str">
            <v>ITEM PEMBAYARAN NO.</v>
          </cell>
          <cell r="D2398" t="str">
            <v xml:space="preserve">:  3.4 </v>
          </cell>
          <cell r="J2398" t="str">
            <v>Analisa EI-312</v>
          </cell>
        </row>
        <row r="2399">
          <cell r="A2399" t="str">
            <v>JENIS PEKERJAAN</v>
          </cell>
          <cell r="D2399" t="str">
            <v>:  Pengupasan Permukaan Aspal Lama dan Pencampuran Kembali</v>
          </cell>
        </row>
        <row r="2400">
          <cell r="A2400" t="str">
            <v>SATUAN PEMBAYARAN</v>
          </cell>
          <cell r="D2400" t="str">
            <v>:  M2</v>
          </cell>
          <cell r="H2400" t="str">
            <v xml:space="preserve">         URAIAN ANALISA HARGA SATUAN</v>
          </cell>
        </row>
        <row r="2401">
          <cell r="J2401" t="str">
            <v>Lanjutan</v>
          </cell>
        </row>
        <row r="2403">
          <cell r="A2403" t="str">
            <v>No.</v>
          </cell>
          <cell r="C2403" t="str">
            <v>U R A I A N</v>
          </cell>
          <cell r="G2403" t="str">
            <v>KODE</v>
          </cell>
          <cell r="H2403" t="str">
            <v>KOEF.</v>
          </cell>
          <cell r="I2403" t="str">
            <v>SATUAN</v>
          </cell>
          <cell r="J2403" t="str">
            <v>KETERANGAN</v>
          </cell>
        </row>
        <row r="2406">
          <cell r="A2406" t="str">
            <v xml:space="preserve">   3.</v>
          </cell>
          <cell r="C2406" t="str">
            <v>TENAGA</v>
          </cell>
        </row>
        <row r="2407">
          <cell r="C2407" t="str">
            <v>Produksi menentukan :COLD RECYCLER</v>
          </cell>
          <cell r="G2407" t="str">
            <v>Q1</v>
          </cell>
          <cell r="H2407">
            <v>2</v>
          </cell>
          <cell r="I2407" t="str">
            <v>M2/Jam</v>
          </cell>
        </row>
        <row r="2408">
          <cell r="C2408" t="str">
            <v>Produksi Galian / hari  =  Tk x Q1</v>
          </cell>
          <cell r="G2408" t="str">
            <v>Qt</v>
          </cell>
          <cell r="H2408">
            <v>14</v>
          </cell>
          <cell r="I2408" t="str">
            <v>M3</v>
          </cell>
        </row>
        <row r="2409">
          <cell r="C2409" t="str">
            <v>Kebutuhan tenaga :</v>
          </cell>
        </row>
        <row r="2410">
          <cell r="D2410" t="str">
            <v>- Pekerja</v>
          </cell>
          <cell r="G2410" t="str">
            <v>P</v>
          </cell>
          <cell r="H2410">
            <v>4</v>
          </cell>
          <cell r="I2410" t="str">
            <v>orang</v>
          </cell>
        </row>
        <row r="2411">
          <cell r="D2411" t="str">
            <v>- Mandor</v>
          </cell>
          <cell r="G2411" t="str">
            <v>M</v>
          </cell>
          <cell r="H2411">
            <v>1</v>
          </cell>
          <cell r="I2411" t="str">
            <v>orang</v>
          </cell>
        </row>
        <row r="2413">
          <cell r="C2413" t="str">
            <v>Koefisien tenaga / M3   :</v>
          </cell>
        </row>
        <row r="2414">
          <cell r="D2414" t="str">
            <v>- Pekerja</v>
          </cell>
          <cell r="E2414" t="str">
            <v>= (Tk x P) : Qt</v>
          </cell>
          <cell r="G2414" t="str">
            <v>(L01)</v>
          </cell>
          <cell r="H2414">
            <v>2</v>
          </cell>
          <cell r="I2414" t="str">
            <v>Jam</v>
          </cell>
        </row>
        <row r="2415">
          <cell r="D2415" t="str">
            <v>- Mandor</v>
          </cell>
          <cell r="E2415" t="str">
            <v>= (Tk x M) : Qt</v>
          </cell>
          <cell r="G2415" t="str">
            <v>(L03)</v>
          </cell>
          <cell r="H2415">
            <v>0.5</v>
          </cell>
          <cell r="I2415" t="str">
            <v>Jam</v>
          </cell>
        </row>
        <row r="2417">
          <cell r="A2417" t="str">
            <v>4.</v>
          </cell>
          <cell r="C2417" t="str">
            <v>HARGA DASAR SATUAN UPAH, BAHAN DAN ALAT</v>
          </cell>
        </row>
        <row r="2418">
          <cell r="C2418" t="str">
            <v>Lihat lampiran.</v>
          </cell>
        </row>
        <row r="2420">
          <cell r="A2420" t="str">
            <v>5.</v>
          </cell>
          <cell r="C2420" t="str">
            <v>ANALISA HARGA SATUAN PEKERJAAN</v>
          </cell>
        </row>
        <row r="2421">
          <cell r="C2421" t="str">
            <v>Lihat perhitungan dalam FORMULIR STANDAR UNTUK</v>
          </cell>
        </row>
        <row r="2422">
          <cell r="C2422" t="str">
            <v>PEREKEMAN ANALISA MASING-MASING HARGA</v>
          </cell>
        </row>
        <row r="2423">
          <cell r="C2423" t="str">
            <v>SATUAN.</v>
          </cell>
        </row>
        <row r="2424">
          <cell r="C2424" t="str">
            <v>Didapat Harga Satuan Pekerjaan :</v>
          </cell>
        </row>
        <row r="2426">
          <cell r="C2426" t="str">
            <v xml:space="preserve">Rp.  </v>
          </cell>
          <cell r="D2426">
            <v>8053.5674999999992</v>
          </cell>
          <cell r="E2426" t="str">
            <v xml:space="preserve"> / M3</v>
          </cell>
        </row>
        <row r="2429">
          <cell r="A2429" t="str">
            <v>6.</v>
          </cell>
          <cell r="C2429" t="str">
            <v>WAKTU PELAKSANAAN YANG DIPERLUKAN</v>
          </cell>
        </row>
        <row r="2430">
          <cell r="C2430" t="str">
            <v>Masa Pelaksanaan :</v>
          </cell>
          <cell r="D2430" t="str">
            <v>. . . . . . . . . . . .</v>
          </cell>
          <cell r="E2430" t="str">
            <v>bulan</v>
          </cell>
        </row>
        <row r="2432">
          <cell r="A2432" t="str">
            <v>7.</v>
          </cell>
          <cell r="C2432" t="str">
            <v>VOLUME PEKERJAAN YANG DIPERLUKAN</v>
          </cell>
        </row>
        <row r="2433">
          <cell r="C2433" t="str">
            <v>Volume pekerjaan  :</v>
          </cell>
          <cell r="D2433">
            <v>0</v>
          </cell>
          <cell r="E2433" t="str">
            <v>M3</v>
          </cell>
        </row>
        <row r="2452">
          <cell r="N2452" t="str">
            <v>yang dibayar dari kontrak) dan biaya-biaya lainnya.</v>
          </cell>
        </row>
        <row r="2453">
          <cell r="A2453" t="str">
            <v>ITEM PEMBAYARAN NO.</v>
          </cell>
          <cell r="D2453" t="str">
            <v>:  3.2 (4)</v>
          </cell>
          <cell r="J2453">
            <v>0</v>
          </cell>
          <cell r="T2453" t="str">
            <v>Analisa EI-322</v>
          </cell>
        </row>
        <row r="2454">
          <cell r="A2454" t="str">
            <v>JENIS PEKERJAAN</v>
          </cell>
          <cell r="D2454" t="str">
            <v xml:space="preserve">:  Timbunan Batu dengan Manual </v>
          </cell>
        </row>
        <row r="2455">
          <cell r="A2455" t="str">
            <v>SATUAN PEMBAYARAN</v>
          </cell>
          <cell r="D2455" t="str">
            <v>:  M3</v>
          </cell>
          <cell r="E2455" t="str">
            <v xml:space="preserve"> </v>
          </cell>
          <cell r="H2455" t="str">
            <v xml:space="preserve">         URAIAN ANALISA HARGA SATUAN</v>
          </cell>
          <cell r="L2455" t="str">
            <v>FORMULIR STANDAR UNTUK</v>
          </cell>
        </row>
        <row r="2456">
          <cell r="L2456" t="str">
            <v>PEREKAMAN ANALISA MASING-MASING HARGA SATUAN</v>
          </cell>
        </row>
        <row r="2457">
          <cell r="L2457" t="str">
            <v xml:space="preserve">                                                                                                            </v>
          </cell>
        </row>
        <row r="2458">
          <cell r="A2458" t="str">
            <v>No.</v>
          </cell>
          <cell r="C2458" t="str">
            <v>U R A I A N</v>
          </cell>
          <cell r="G2458" t="str">
            <v>KODE</v>
          </cell>
          <cell r="H2458" t="str">
            <v>KOEF.</v>
          </cell>
          <cell r="I2458" t="str">
            <v>SATUAN</v>
          </cell>
          <cell r="J2458" t="str">
            <v>KETERANGAN</v>
          </cell>
        </row>
        <row r="2460">
          <cell r="L2460" t="str">
            <v>PROYEK</v>
          </cell>
          <cell r="O2460" t="str">
            <v>:</v>
          </cell>
        </row>
        <row r="2461">
          <cell r="A2461" t="str">
            <v>I.</v>
          </cell>
          <cell r="C2461" t="str">
            <v>ASUMSI</v>
          </cell>
          <cell r="L2461" t="str">
            <v>No. PAKET KONTRAK</v>
          </cell>
          <cell r="O2461" t="str">
            <v>:</v>
          </cell>
        </row>
        <row r="2462">
          <cell r="A2462">
            <v>1</v>
          </cell>
          <cell r="C2462" t="str">
            <v>Pekerjaan dilakukan secara manual</v>
          </cell>
          <cell r="L2462" t="str">
            <v>NAMA PAKET</v>
          </cell>
          <cell r="O2462" t="str">
            <v>:</v>
          </cell>
        </row>
        <row r="2463">
          <cell r="A2463">
            <v>2</v>
          </cell>
          <cell r="C2463" t="str">
            <v>Lokasi pekerjaan : sepanjang jalan</v>
          </cell>
          <cell r="L2463" t="str">
            <v>PROP / KAB / KODYA</v>
          </cell>
          <cell r="O2463" t="str">
            <v>:</v>
          </cell>
        </row>
        <row r="2464">
          <cell r="A2464">
            <v>3</v>
          </cell>
          <cell r="C2464" t="str">
            <v>Kondisi Jalan   :  sedang / baik</v>
          </cell>
          <cell r="L2464" t="str">
            <v>ITEM PEMBAYARAN NO.</v>
          </cell>
          <cell r="O2464" t="str">
            <v>:  3.2 (4)</v>
          </cell>
          <cell r="R2464" t="str">
            <v>PERKIRAAN VOL. PEK.</v>
          </cell>
          <cell r="T2464" t="str">
            <v>:</v>
          </cell>
          <cell r="U2464">
            <v>1</v>
          </cell>
        </row>
        <row r="2465">
          <cell r="A2465">
            <v>4</v>
          </cell>
          <cell r="C2465" t="str">
            <v>Jam kerja efektif per-hari</v>
          </cell>
          <cell r="G2465" t="str">
            <v>Tk</v>
          </cell>
          <cell r="H2465">
            <v>7</v>
          </cell>
          <cell r="I2465" t="str">
            <v>Jam</v>
          </cell>
          <cell r="L2465" t="str">
            <v>JENIS PEKERJAAN</v>
          </cell>
          <cell r="O2465" t="str">
            <v xml:space="preserve">:  Timbunan Batu dengan Manual </v>
          </cell>
          <cell r="R2465" t="str">
            <v>TOTAL HARGA (Rp.)</v>
          </cell>
          <cell r="T2465" t="str">
            <v>:</v>
          </cell>
          <cell r="U2465">
            <v>263185.3</v>
          </cell>
        </row>
        <row r="2466">
          <cell r="A2466">
            <v>5</v>
          </cell>
          <cell r="C2466" t="str">
            <v>Faktor pengembangan bahan</v>
          </cell>
          <cell r="G2466" t="str">
            <v>Fk</v>
          </cell>
          <cell r="H2466">
            <v>1.24</v>
          </cell>
          <cell r="I2466" t="str">
            <v>-</v>
          </cell>
          <cell r="L2466" t="str">
            <v>SATUAN PEMBAYARAN</v>
          </cell>
          <cell r="O2466" t="str">
            <v>:  M3</v>
          </cell>
          <cell r="P2466" t="str">
            <v xml:space="preserve"> </v>
          </cell>
          <cell r="R2466" t="str">
            <v>% THD. BIAYA PROYEK</v>
          </cell>
          <cell r="T2466" t="str">
            <v>:</v>
          </cell>
          <cell r="U2466" t="e">
            <v>#DIV/0!</v>
          </cell>
        </row>
        <row r="2467">
          <cell r="A2467">
            <v>6</v>
          </cell>
          <cell r="C2467" t="str">
            <v>Tebal hamparan padat</v>
          </cell>
          <cell r="G2467" t="str">
            <v>t</v>
          </cell>
          <cell r="H2467">
            <v>0.45</v>
          </cell>
          <cell r="I2467" t="str">
            <v>M</v>
          </cell>
        </row>
        <row r="2469">
          <cell r="A2469" t="str">
            <v>II.</v>
          </cell>
          <cell r="C2469" t="str">
            <v>URUTAN KERJA</v>
          </cell>
          <cell r="Q2469" t="str">
            <v>PERKIRAAN</v>
          </cell>
          <cell r="R2469" t="str">
            <v>HARGA</v>
          </cell>
          <cell r="S2469" t="str">
            <v>JUMLAH</v>
          </cell>
        </row>
        <row r="2470">
          <cell r="A2470">
            <v>1</v>
          </cell>
          <cell r="C2470" t="str">
            <v>Whell Loader memuat batu ke dalam Dump Truck</v>
          </cell>
          <cell r="L2470" t="str">
            <v>NO.</v>
          </cell>
          <cell r="N2470" t="str">
            <v>KOMPONEN</v>
          </cell>
          <cell r="P2470" t="str">
            <v>SATUAN</v>
          </cell>
          <cell r="Q2470" t="str">
            <v>KUANTITAS</v>
          </cell>
          <cell r="R2470" t="str">
            <v>SATUAN</v>
          </cell>
          <cell r="S2470" t="str">
            <v>HARGA</v>
          </cell>
        </row>
        <row r="2471">
          <cell r="A2471">
            <v>2</v>
          </cell>
          <cell r="C2471" t="str">
            <v>Dump Truck mengangkut ke lapangan dengan jarak</v>
          </cell>
          <cell r="R2471" t="str">
            <v>(Rp.)</v>
          </cell>
          <cell r="S2471" t="str">
            <v>(Rp.)</v>
          </cell>
        </row>
        <row r="2472">
          <cell r="C2472" t="str">
            <v>quari ke lapangan</v>
          </cell>
          <cell r="G2472" t="str">
            <v>L</v>
          </cell>
          <cell r="H2472">
            <v>80.61</v>
          </cell>
          <cell r="I2472" t="str">
            <v>Km</v>
          </cell>
        </row>
        <row r="2473">
          <cell r="A2473">
            <v>3</v>
          </cell>
          <cell r="C2473" t="str">
            <v>Material Timbunan Batu dihampar secara Manual</v>
          </cell>
        </row>
        <row r="2474">
          <cell r="A2474">
            <v>4</v>
          </cell>
          <cell r="C2474" t="str">
            <v>Hamparan batu dipadatkan menggunakan Vibratory</v>
          </cell>
        </row>
        <row r="2475">
          <cell r="C2475" t="str">
            <v>Roller</v>
          </cell>
        </row>
        <row r="2476">
          <cell r="A2476">
            <v>5</v>
          </cell>
          <cell r="C2476" t="str">
            <v>Agregat pengunci dihampar dari Dump Truck, diratakan</v>
          </cell>
        </row>
        <row r="2477">
          <cell r="C2477" t="str">
            <v>menggunakan Bulldozer</v>
          </cell>
        </row>
        <row r="2478">
          <cell r="A2478">
            <v>6</v>
          </cell>
          <cell r="C2478" t="str">
            <v>Hamparan material dipadatkan menggunakan Vibratory</v>
          </cell>
          <cell r="L2478" t="str">
            <v>A.</v>
          </cell>
          <cell r="N2478" t="str">
            <v>TENAGA</v>
          </cell>
        </row>
        <row r="2479">
          <cell r="C2479" t="str">
            <v>Roller</v>
          </cell>
        </row>
        <row r="2480">
          <cell r="C2480" t="str">
            <v xml:space="preserve"> </v>
          </cell>
          <cell r="L2480" t="str">
            <v>1.</v>
          </cell>
          <cell r="N2480" t="str">
            <v>Pekerja</v>
          </cell>
          <cell r="O2480" t="str">
            <v>(L01)</v>
          </cell>
          <cell r="P2480" t="str">
            <v>Jam</v>
          </cell>
          <cell r="Q2480">
            <v>0.14755317566562548</v>
          </cell>
          <cell r="R2480">
            <v>2857.14</v>
          </cell>
          <cell r="U2480">
            <v>421.58008032128515</v>
          </cell>
        </row>
        <row r="2481">
          <cell r="A2481">
            <v>7</v>
          </cell>
          <cell r="C2481" t="str">
            <v>Selama pemadatan sekelompok pekerja  akan</v>
          </cell>
          <cell r="L2481" t="str">
            <v>2.</v>
          </cell>
          <cell r="N2481" t="str">
            <v>Mandor</v>
          </cell>
          <cell r="O2481" t="str">
            <v>(L02)</v>
          </cell>
          <cell r="P2481" t="str">
            <v>Jam</v>
          </cell>
          <cell r="Q2481">
            <v>1.8444146958203185E-2</v>
          </cell>
          <cell r="R2481">
            <v>3214.29</v>
          </cell>
          <cell r="U2481">
            <v>59.284837126282916</v>
          </cell>
        </row>
        <row r="2482">
          <cell r="C2482" t="str">
            <v>merapikan tepi hamparan dan level permukaan</v>
          </cell>
        </row>
        <row r="2483">
          <cell r="C2483" t="str">
            <v>dengan menggunakan alat bantu</v>
          </cell>
        </row>
        <row r="2484">
          <cell r="Q2484" t="str">
            <v xml:space="preserve">JUMLAH HARGA TENAGA   </v>
          </cell>
          <cell r="U2484">
            <v>480.86491744756808</v>
          </cell>
        </row>
        <row r="2485">
          <cell r="A2485" t="str">
            <v>III.</v>
          </cell>
          <cell r="C2485" t="str">
            <v>PEMAKAIAN BAHAN, ALAT DAN TENAGA</v>
          </cell>
        </row>
        <row r="2486">
          <cell r="A2486" t="str">
            <v xml:space="preserve">   1.</v>
          </cell>
          <cell r="C2486" t="str">
            <v>BAHAN</v>
          </cell>
          <cell r="L2486" t="str">
            <v>B.</v>
          </cell>
          <cell r="N2486" t="str">
            <v>BAHAN</v>
          </cell>
        </row>
        <row r="2487">
          <cell r="A2487" t="str">
            <v>1.a.</v>
          </cell>
          <cell r="C2487" t="str">
            <v>Bahan timbunan</v>
          </cell>
          <cell r="D2487" t="str">
            <v xml:space="preserve"> =  1 x  Fk</v>
          </cell>
          <cell r="G2487" t="str">
            <v>(M08)</v>
          </cell>
          <cell r="H2487">
            <v>1.24</v>
          </cell>
          <cell r="I2487" t="str">
            <v>M3</v>
          </cell>
          <cell r="J2487" t="str">
            <v xml:space="preserve"> Borrow Pit</v>
          </cell>
        </row>
        <row r="2489">
          <cell r="A2489" t="str">
            <v xml:space="preserve">   2.</v>
          </cell>
          <cell r="C2489" t="str">
            <v>ALAT</v>
          </cell>
        </row>
        <row r="2490">
          <cell r="A2490" t="str">
            <v>2.a.</v>
          </cell>
          <cell r="C2490" t="str">
            <v>WHELL  LOADER</v>
          </cell>
          <cell r="G2490" t="str">
            <v>(E15)</v>
          </cell>
        </row>
        <row r="2491">
          <cell r="C2491" t="str">
            <v>Kapasitas  Bucket</v>
          </cell>
          <cell r="G2491" t="str">
            <v>V</v>
          </cell>
          <cell r="H2491">
            <v>1.5</v>
          </cell>
          <cell r="I2491" t="str">
            <v>M3</v>
          </cell>
        </row>
        <row r="2492">
          <cell r="C2492" t="str">
            <v>Faktor Bucket</v>
          </cell>
          <cell r="G2492" t="str">
            <v>Fb</v>
          </cell>
          <cell r="H2492">
            <v>0.9</v>
          </cell>
          <cell r="I2492" t="str">
            <v>-</v>
          </cell>
        </row>
        <row r="2493">
          <cell r="C2493" t="str">
            <v>Faktor Efisiensi Alat</v>
          </cell>
          <cell r="G2493" t="str">
            <v>Fa</v>
          </cell>
          <cell r="H2493">
            <v>0.83</v>
          </cell>
          <cell r="I2493" t="str">
            <v>-</v>
          </cell>
        </row>
        <row r="2494">
          <cell r="C2494" t="str">
            <v>Waktu sklus</v>
          </cell>
          <cell r="G2494" t="str">
            <v>Ts1</v>
          </cell>
          <cell r="I2494" t="str">
            <v>menit</v>
          </cell>
        </row>
        <row r="2495">
          <cell r="C2495" t="str">
            <v>- Muat</v>
          </cell>
          <cell r="G2495" t="str">
            <v>T1</v>
          </cell>
          <cell r="H2495">
            <v>0.5</v>
          </cell>
          <cell r="I2495" t="str">
            <v>menit</v>
          </cell>
        </row>
        <row r="2496">
          <cell r="C2496" t="str">
            <v>- Lain-lain</v>
          </cell>
          <cell r="G2496" t="str">
            <v>T2</v>
          </cell>
          <cell r="H2496">
            <v>0.5</v>
          </cell>
          <cell r="I2496" t="str">
            <v>menit</v>
          </cell>
        </row>
        <row r="2497">
          <cell r="G2497" t="str">
            <v>Ts1</v>
          </cell>
          <cell r="H2497">
            <v>1</v>
          </cell>
          <cell r="I2497" t="str">
            <v>menit</v>
          </cell>
        </row>
        <row r="2499">
          <cell r="C2499" t="str">
            <v>Kapasitas Produksi / Jam =</v>
          </cell>
          <cell r="E2499" t="str">
            <v>V  x  Fb x Fa x 60</v>
          </cell>
          <cell r="G2499" t="str">
            <v>Q1</v>
          </cell>
          <cell r="H2499">
            <v>54.217741935483872</v>
          </cell>
          <cell r="I2499" t="str">
            <v>M3</v>
          </cell>
        </row>
        <row r="2500">
          <cell r="E2500" t="str">
            <v xml:space="preserve">      Fk x Ts1</v>
          </cell>
        </row>
        <row r="2502">
          <cell r="C2502" t="str">
            <v>Koefisienalat / M3</v>
          </cell>
          <cell r="D2502" t="str">
            <v xml:space="preserve"> =   1 : Q1</v>
          </cell>
          <cell r="G2502" t="str">
            <v>(E15)</v>
          </cell>
          <cell r="H2502">
            <v>1.8444146958203182E-2</v>
          </cell>
          <cell r="I2502" t="str">
            <v>Jam</v>
          </cell>
        </row>
        <row r="2504">
          <cell r="A2504" t="str">
            <v xml:space="preserve">   2.b.</v>
          </cell>
          <cell r="C2504" t="str">
            <v>DUMP TRUCK</v>
          </cell>
          <cell r="G2504" t="str">
            <v>(E08)</v>
          </cell>
        </row>
        <row r="2505">
          <cell r="C2505" t="str">
            <v>Kapasitas bak</v>
          </cell>
          <cell r="G2505" t="str">
            <v>V</v>
          </cell>
          <cell r="H2505">
            <v>6.666666666666667</v>
          </cell>
          <cell r="I2505" t="str">
            <v>M3</v>
          </cell>
        </row>
        <row r="2506">
          <cell r="C2506" t="str">
            <v>Faktor  efisiensi alat</v>
          </cell>
          <cell r="G2506" t="str">
            <v>Fa</v>
          </cell>
          <cell r="H2506">
            <v>0.83</v>
          </cell>
          <cell r="I2506" t="str">
            <v>-</v>
          </cell>
        </row>
        <row r="2507">
          <cell r="C2507" t="str">
            <v>Kecepatan rata-rata bermuatan</v>
          </cell>
          <cell r="G2507" t="str">
            <v>v1</v>
          </cell>
          <cell r="H2507">
            <v>40</v>
          </cell>
          <cell r="I2507" t="str">
            <v>KM/Jam</v>
          </cell>
        </row>
        <row r="2508">
          <cell r="C2508" t="str">
            <v>Kecepatan rata-rata kosong</v>
          </cell>
          <cell r="G2508" t="str">
            <v>v2</v>
          </cell>
          <cell r="H2508">
            <v>60</v>
          </cell>
          <cell r="I2508" t="str">
            <v>KM/Jam</v>
          </cell>
        </row>
        <row r="2509">
          <cell r="C2509" t="str">
            <v>Waktusiklus :</v>
          </cell>
          <cell r="G2509" t="str">
            <v>Ts2</v>
          </cell>
        </row>
        <row r="2510">
          <cell r="C2510" t="str">
            <v>-  Waktu tempuh isi   = (L : v1) x 60</v>
          </cell>
          <cell r="G2510" t="str">
            <v>T1</v>
          </cell>
          <cell r="H2510">
            <v>120.91499999999999</v>
          </cell>
          <cell r="I2510" t="str">
            <v>menit</v>
          </cell>
        </row>
        <row r="2511">
          <cell r="C2511" t="str">
            <v>-  Waktu tempuh kosong   = (L : v2) x 60</v>
          </cell>
          <cell r="G2511" t="str">
            <v>T2</v>
          </cell>
          <cell r="H2511">
            <v>80.61</v>
          </cell>
          <cell r="I2511" t="str">
            <v>menit</v>
          </cell>
        </row>
        <row r="2512">
          <cell r="C2512" t="str">
            <v>- Lain-lain</v>
          </cell>
          <cell r="G2512" t="str">
            <v>T3</v>
          </cell>
          <cell r="H2512">
            <v>4</v>
          </cell>
          <cell r="I2512" t="str">
            <v>menit</v>
          </cell>
        </row>
        <row r="2513">
          <cell r="G2513" t="str">
            <v>Ts2</v>
          </cell>
          <cell r="H2513">
            <v>205.52499999999998</v>
          </cell>
          <cell r="I2513" t="str">
            <v>menit</v>
          </cell>
        </row>
        <row r="2517">
          <cell r="J2517" t="str">
            <v>Berlanjut ke halaman berikut</v>
          </cell>
        </row>
        <row r="2518">
          <cell r="A2518" t="str">
            <v>ITEM PEMBAYARAN NO.</v>
          </cell>
          <cell r="D2518" t="str">
            <v>:  3.2 (4)</v>
          </cell>
          <cell r="J2518">
            <v>0</v>
          </cell>
        </row>
        <row r="2519">
          <cell r="A2519" t="str">
            <v>JENIS PEKERJAAN</v>
          </cell>
          <cell r="D2519" t="str">
            <v xml:space="preserve">:  Timbunan Batu dengan Manual </v>
          </cell>
        </row>
        <row r="2520">
          <cell r="A2520" t="str">
            <v>SATUAN PEMBAYARAN</v>
          </cell>
          <cell r="D2520" t="str">
            <v>:  M3</v>
          </cell>
          <cell r="E2520" t="str">
            <v xml:space="preserve"> </v>
          </cell>
          <cell r="H2520" t="str">
            <v xml:space="preserve">         URAIAN ANALISA HARGA SATUAN</v>
          </cell>
        </row>
        <row r="2521">
          <cell r="J2521" t="str">
            <v>Lanjutan</v>
          </cell>
        </row>
        <row r="2523">
          <cell r="A2523" t="str">
            <v>No.</v>
          </cell>
          <cell r="C2523" t="str">
            <v>U R A I A N</v>
          </cell>
          <cell r="G2523" t="str">
            <v>KODE</v>
          </cell>
          <cell r="H2523" t="str">
            <v>KOEF.</v>
          </cell>
          <cell r="I2523" t="str">
            <v>SATUAN</v>
          </cell>
          <cell r="J2523" t="str">
            <v>KETERANGAN</v>
          </cell>
        </row>
        <row r="2526">
          <cell r="C2526" t="str">
            <v>Kapasitas Produksi / Jam   =</v>
          </cell>
          <cell r="E2526" t="str">
            <v>V x Fa x 60</v>
          </cell>
          <cell r="G2526" t="str">
            <v>Q2</v>
          </cell>
          <cell r="H2526">
            <v>1.3027219826486851</v>
          </cell>
          <cell r="I2526" t="str">
            <v>M3</v>
          </cell>
        </row>
        <row r="2527">
          <cell r="E2527" t="str">
            <v xml:space="preserve">    Fk x Ts2</v>
          </cell>
        </row>
        <row r="2529">
          <cell r="C2529" t="str">
            <v>Koefisien Alat / M3</v>
          </cell>
          <cell r="D2529" t="str">
            <v xml:space="preserve"> =  1  :  Q2</v>
          </cell>
          <cell r="G2529" t="str">
            <v>(E08)</v>
          </cell>
          <cell r="H2529">
            <v>0.76762349397590346</v>
          </cell>
          <cell r="I2529" t="str">
            <v>Jam</v>
          </cell>
        </row>
        <row r="2531">
          <cell r="A2531" t="str">
            <v>2.c.</v>
          </cell>
          <cell r="C2531" t="str">
            <v>BULLDOZER</v>
          </cell>
          <cell r="G2531" t="str">
            <v>(E13)</v>
          </cell>
        </row>
        <row r="2532">
          <cell r="C2532" t="str">
            <v>Panjang hamparan</v>
          </cell>
          <cell r="G2532" t="str">
            <v>Lh</v>
          </cell>
          <cell r="H2532">
            <v>50</v>
          </cell>
          <cell r="I2532" t="str">
            <v>M</v>
          </cell>
        </row>
        <row r="2533">
          <cell r="C2533" t="str">
            <v>Lebar Efektif kerja Blade</v>
          </cell>
          <cell r="G2533" t="str">
            <v>b</v>
          </cell>
          <cell r="H2533">
            <v>2.4</v>
          </cell>
          <cell r="I2533" t="str">
            <v>M</v>
          </cell>
        </row>
        <row r="2534">
          <cell r="C2534" t="str">
            <v>Faktor Efisiensi Alat</v>
          </cell>
          <cell r="G2534" t="str">
            <v>Fa</v>
          </cell>
          <cell r="H2534">
            <v>0.83</v>
          </cell>
          <cell r="I2534" t="str">
            <v>-</v>
          </cell>
        </row>
        <row r="2535">
          <cell r="C2535" t="str">
            <v>Kecepatan rata-rata alat</v>
          </cell>
          <cell r="G2535" t="str">
            <v>v</v>
          </cell>
          <cell r="H2535">
            <v>5</v>
          </cell>
          <cell r="I2535" t="str">
            <v>Km / Jam</v>
          </cell>
        </row>
        <row r="2536">
          <cell r="C2536" t="str">
            <v>Jumlah lintasan</v>
          </cell>
          <cell r="G2536" t="str">
            <v>n</v>
          </cell>
          <cell r="H2536">
            <v>5</v>
          </cell>
          <cell r="I2536" t="str">
            <v>lintasan</v>
          </cell>
        </row>
        <row r="2537">
          <cell r="C2537" t="str">
            <v>Waktu siklus</v>
          </cell>
          <cell r="G2537" t="str">
            <v>Ts3</v>
          </cell>
        </row>
        <row r="2538">
          <cell r="C2538" t="str">
            <v>- Perataan 1 kali lintasan    = Lh : (v x 1000) x 60</v>
          </cell>
          <cell r="G2538" t="str">
            <v>T1</v>
          </cell>
          <cell r="H2538">
            <v>0.6</v>
          </cell>
          <cell r="I2538" t="str">
            <v>menit</v>
          </cell>
        </row>
        <row r="2539">
          <cell r="C2539" t="str">
            <v>- Lain-lain</v>
          </cell>
          <cell r="G2539" t="str">
            <v>T2</v>
          </cell>
          <cell r="H2539">
            <v>0.5</v>
          </cell>
          <cell r="I2539" t="str">
            <v>menit</v>
          </cell>
        </row>
        <row r="2540">
          <cell r="G2540" t="str">
            <v>Ts3</v>
          </cell>
          <cell r="H2540">
            <v>1.1000000000000001</v>
          </cell>
          <cell r="I2540" t="str">
            <v>menit</v>
          </cell>
        </row>
        <row r="2542">
          <cell r="C2542" t="str">
            <v>Kapasitas Produksi / Jam   =</v>
          </cell>
          <cell r="E2542" t="str">
            <v>Lh x b x t x Fa x 60</v>
          </cell>
          <cell r="G2542" t="str">
            <v>Q3</v>
          </cell>
          <cell r="H2542">
            <v>488.94545454545454</v>
          </cell>
          <cell r="I2542" t="str">
            <v>M3</v>
          </cell>
        </row>
        <row r="2543">
          <cell r="E2543" t="str">
            <v xml:space="preserve">      n x Ts3</v>
          </cell>
        </row>
        <row r="2545">
          <cell r="C2545" t="str">
            <v>Koefisien Alat / M3</v>
          </cell>
          <cell r="D2545" t="str">
            <v xml:space="preserve"> =  1  :  Q3</v>
          </cell>
          <cell r="G2545" t="str">
            <v>(E13)</v>
          </cell>
          <cell r="H2545">
            <v>2.045217908671724E-3</v>
          </cell>
          <cell r="I2545" t="str">
            <v>Jam</v>
          </cell>
        </row>
        <row r="2547">
          <cell r="A2547" t="str">
            <v>2.d.</v>
          </cell>
          <cell r="C2547" t="str">
            <v>VIBRATORY ROLLER</v>
          </cell>
          <cell r="G2547" t="str">
            <v>(E19)</v>
          </cell>
        </row>
        <row r="2548">
          <cell r="C2548" t="str">
            <v>Kecepatan rata-rata alat</v>
          </cell>
          <cell r="G2548" t="str">
            <v>v</v>
          </cell>
          <cell r="H2548">
            <v>4</v>
          </cell>
          <cell r="I2548" t="str">
            <v>Km / Jam</v>
          </cell>
        </row>
        <row r="2549">
          <cell r="C2549" t="str">
            <v>Lebar efektif pemadatan</v>
          </cell>
          <cell r="G2549" t="str">
            <v>b</v>
          </cell>
          <cell r="H2549">
            <v>1.2</v>
          </cell>
          <cell r="I2549" t="str">
            <v>M</v>
          </cell>
        </row>
        <row r="2550">
          <cell r="C2550" t="str">
            <v>Jumlah lintasan</v>
          </cell>
          <cell r="G2550" t="str">
            <v>n</v>
          </cell>
          <cell r="H2550">
            <v>6</v>
          </cell>
          <cell r="I2550" t="str">
            <v>lintasan</v>
          </cell>
        </row>
        <row r="2551">
          <cell r="C2551" t="str">
            <v>Faktor efisiensi alat</v>
          </cell>
          <cell r="G2551" t="str">
            <v>Fa</v>
          </cell>
          <cell r="H2551">
            <v>0.83</v>
          </cell>
          <cell r="I2551" t="str">
            <v>-</v>
          </cell>
        </row>
        <row r="2553">
          <cell r="C2553" t="str">
            <v>Kapasitas Prod./Jam   =</v>
          </cell>
          <cell r="D2553" t="str">
            <v>(v x 1000) x b x t x Fa</v>
          </cell>
          <cell r="G2553" t="str">
            <v>Q4</v>
          </cell>
          <cell r="H2553">
            <v>298.8</v>
          </cell>
          <cell r="I2553" t="str">
            <v>M3</v>
          </cell>
        </row>
        <row r="2554">
          <cell r="D2554" t="str">
            <v>n</v>
          </cell>
        </row>
        <row r="2556">
          <cell r="C2556" t="str">
            <v>Koefisien Alat / M3</v>
          </cell>
          <cell r="D2556" t="str">
            <v xml:space="preserve"> =  1  :  Q4</v>
          </cell>
          <cell r="G2556" t="str">
            <v>(E19)</v>
          </cell>
          <cell r="H2556">
            <v>3.3467202141900937E-3</v>
          </cell>
          <cell r="I2556" t="str">
            <v>Jam</v>
          </cell>
        </row>
        <row r="2570">
          <cell r="A2570" t="str">
            <v>2.f.</v>
          </cell>
          <cell r="C2570" t="str">
            <v>ALAT  BANTU</v>
          </cell>
        </row>
        <row r="2571">
          <cell r="C2571" t="str">
            <v>Diperlukan alat-alat bantu kecil</v>
          </cell>
          <cell r="J2571" t="str">
            <v>Lump Sump</v>
          </cell>
        </row>
        <row r="2572">
          <cell r="C2572" t="str">
            <v xml:space="preserve">- Sekop    </v>
          </cell>
          <cell r="D2572" t="str">
            <v>= 2 buah</v>
          </cell>
        </row>
        <row r="2573">
          <cell r="C2573" t="str">
            <v>- Palu besar</v>
          </cell>
          <cell r="D2573" t="str">
            <v>= 1 buah</v>
          </cell>
        </row>
        <row r="2574">
          <cell r="C2574" t="str">
            <v>- Kereta dorong</v>
          </cell>
          <cell r="D2574" t="str">
            <v>= 6 buah</v>
          </cell>
        </row>
        <row r="2576">
          <cell r="J2576" t="str">
            <v>Berlanjut ke halaman berikut</v>
          </cell>
        </row>
        <row r="2577">
          <cell r="A2577" t="str">
            <v>ITEM PEMBAYARAN NO.</v>
          </cell>
          <cell r="D2577" t="str">
            <v>:  3.2 (4)</v>
          </cell>
          <cell r="J2577">
            <v>0</v>
          </cell>
        </row>
        <row r="2578">
          <cell r="A2578" t="str">
            <v>JENIS PEKERJAAN</v>
          </cell>
          <cell r="D2578" t="str">
            <v xml:space="preserve">:  Timbunan Batu dengan Manual </v>
          </cell>
        </row>
        <row r="2579">
          <cell r="A2579" t="str">
            <v>SATUAN PEMBAYARAN</v>
          </cell>
          <cell r="D2579" t="str">
            <v>:  M3</v>
          </cell>
          <cell r="E2579" t="str">
            <v xml:space="preserve"> </v>
          </cell>
          <cell r="H2579" t="str">
            <v xml:space="preserve">         URAIAN ANALISA HARGA SATUAN</v>
          </cell>
        </row>
        <row r="2580">
          <cell r="J2580" t="str">
            <v>Lanjutan</v>
          </cell>
        </row>
        <row r="2582">
          <cell r="A2582" t="str">
            <v>No.</v>
          </cell>
          <cell r="C2582" t="str">
            <v>U R A I A N</v>
          </cell>
          <cell r="G2582" t="str">
            <v>KODE</v>
          </cell>
          <cell r="H2582" t="str">
            <v>KOEF.</v>
          </cell>
          <cell r="I2582" t="str">
            <v>SATUAN</v>
          </cell>
          <cell r="J2582" t="str">
            <v>KETERANGAN</v>
          </cell>
        </row>
        <row r="2585">
          <cell r="A2585" t="str">
            <v xml:space="preserve">   3.</v>
          </cell>
          <cell r="C2585" t="str">
            <v>TENAGA</v>
          </cell>
        </row>
        <row r="2586">
          <cell r="C2586" t="str">
            <v>Produksi menentukan : DUMP TRUCK</v>
          </cell>
          <cell r="G2586" t="str">
            <v>Q1</v>
          </cell>
          <cell r="H2586">
            <v>54.217741935483872</v>
          </cell>
          <cell r="I2586" t="str">
            <v>M3/Jam</v>
          </cell>
        </row>
        <row r="2587">
          <cell r="C2587" t="str">
            <v>Produksi Timbunan / hari  =  Tk x Q1</v>
          </cell>
          <cell r="G2587" t="str">
            <v>Qt</v>
          </cell>
          <cell r="H2587">
            <v>379.52419354838707</v>
          </cell>
          <cell r="I2587" t="str">
            <v>M3</v>
          </cell>
        </row>
        <row r="2588">
          <cell r="C2588" t="str">
            <v>Kebutuhan tenaga :</v>
          </cell>
        </row>
        <row r="2589">
          <cell r="D2589" t="str">
            <v>- Pekerja</v>
          </cell>
          <cell r="G2589" t="str">
            <v>P</v>
          </cell>
          <cell r="H2589">
            <v>8</v>
          </cell>
          <cell r="I2589" t="str">
            <v>orang</v>
          </cell>
        </row>
        <row r="2590">
          <cell r="D2590" t="str">
            <v>- Mandor</v>
          </cell>
          <cell r="G2590" t="str">
            <v>M</v>
          </cell>
          <cell r="H2590">
            <v>1</v>
          </cell>
          <cell r="I2590" t="str">
            <v>orang</v>
          </cell>
        </row>
        <row r="2593">
          <cell r="C2593" t="str">
            <v>Koefisien tenaga / M3   :</v>
          </cell>
        </row>
        <row r="2594">
          <cell r="D2594" t="str">
            <v>- Pekerja</v>
          </cell>
          <cell r="E2594" t="str">
            <v>= (Tk x P) : Qt</v>
          </cell>
          <cell r="G2594" t="str">
            <v>(L01)</v>
          </cell>
          <cell r="H2594">
            <v>0.14755317566562548</v>
          </cell>
          <cell r="I2594" t="str">
            <v>Jam</v>
          </cell>
        </row>
        <row r="2595">
          <cell r="D2595" t="str">
            <v>- Mandor</v>
          </cell>
          <cell r="E2595" t="str">
            <v>= (Tk x M) : Qt</v>
          </cell>
          <cell r="G2595" t="str">
            <v>(L02)</v>
          </cell>
          <cell r="H2595">
            <v>1.8444146958203185E-2</v>
          </cell>
          <cell r="I2595" t="str">
            <v>Jam</v>
          </cell>
        </row>
        <row r="2598">
          <cell r="A2598" t="str">
            <v>4.</v>
          </cell>
          <cell r="C2598" t="str">
            <v>HARGA DASAR SATUAN UPAH, BAHAN DAN ALAT</v>
          </cell>
        </row>
        <row r="2599">
          <cell r="C2599" t="str">
            <v>Lihat lampiran.</v>
          </cell>
        </row>
        <row r="2602">
          <cell r="A2602" t="str">
            <v>5.</v>
          </cell>
          <cell r="C2602" t="str">
            <v>ANALISA HARGA SATUAN PEKERJAAN</v>
          </cell>
        </row>
        <row r="2603">
          <cell r="C2603" t="str">
            <v>Lihat perhitungan dalam FORMULIR STANDAR UNTUK</v>
          </cell>
        </row>
        <row r="2604">
          <cell r="C2604" t="str">
            <v>PEREKEMAN ANALISA MASING-MASING HARGA</v>
          </cell>
        </row>
        <row r="2605">
          <cell r="C2605" t="str">
            <v>SATUAN.</v>
          </cell>
        </row>
        <row r="2606">
          <cell r="C2606" t="str">
            <v>Didapat Harga Satuan Pekerjaan :</v>
          </cell>
        </row>
        <row r="2608">
          <cell r="C2608" t="str">
            <v xml:space="preserve">Rp.  </v>
          </cell>
          <cell r="D2608">
            <v>162398.24383290968</v>
          </cell>
          <cell r="E2608" t="str">
            <v xml:space="preserve"> / M3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T1" t="str">
            <v>Analisa EI-421</v>
          </cell>
        </row>
        <row r="3"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 xml:space="preserve">                                                                                                            </v>
          </cell>
        </row>
        <row r="8">
          <cell r="L8" t="str">
            <v>PROYEK</v>
          </cell>
          <cell r="O8" t="str">
            <v>:</v>
          </cell>
        </row>
        <row r="9">
          <cell r="L9" t="str">
            <v>No. PAKET KONTRAK</v>
          </cell>
          <cell r="O9" t="str">
            <v>:</v>
          </cell>
        </row>
        <row r="10">
          <cell r="L10" t="str">
            <v>NAMA PAKET</v>
          </cell>
          <cell r="O10" t="str">
            <v>:</v>
          </cell>
        </row>
        <row r="11">
          <cell r="L11" t="str">
            <v>PROP / KAB / KODYA</v>
          </cell>
          <cell r="O11" t="str">
            <v>:</v>
          </cell>
        </row>
        <row r="12"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7"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R19" t="str">
            <v>(Rp.)</v>
          </cell>
          <cell r="S19" t="str">
            <v>(Rp.)</v>
          </cell>
        </row>
        <row r="22">
          <cell r="L22" t="str">
            <v>A.</v>
          </cell>
          <cell r="N22" t="str">
            <v>TENAGA</v>
          </cell>
        </row>
        <row r="24"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8">
          <cell r="Q28" t="str">
            <v xml:space="preserve">JUMLAH HARGA TENAGA   </v>
          </cell>
          <cell r="U28">
            <v>828.71111111111088</v>
          </cell>
        </row>
        <row r="30">
          <cell r="L30" t="str">
            <v>B.</v>
          </cell>
          <cell r="N30" t="str">
            <v>BAHAN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8">
          <cell r="Q38" t="str">
            <v xml:space="preserve">JUMLAH HARGA BAHAN   </v>
          </cell>
          <cell r="U38">
            <v>251614.28227033102</v>
          </cell>
        </row>
        <row r="40">
          <cell r="L40" t="str">
            <v>C.</v>
          </cell>
          <cell r="N40" t="str">
            <v>PERALATAN</v>
          </cell>
        </row>
        <row r="42"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2"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N56" t="str">
            <v>berat untuk bahan-bahan.</v>
          </cell>
        </row>
        <row r="57"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N58" t="str">
            <v>mata pembayaran.</v>
          </cell>
        </row>
        <row r="59"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N61" t="str">
            <v>yang dibayar dari kontrak) dan biaya-biaya lainnya.</v>
          </cell>
        </row>
        <row r="897">
          <cell r="T897" t="str">
            <v>Analisa EI-426</v>
          </cell>
        </row>
        <row r="899">
          <cell r="L899" t="str">
            <v>FORMULIR STANDAR UNTUK</v>
          </cell>
        </row>
        <row r="900">
          <cell r="L900" t="str">
            <v>PEREKAMAN ANALISA MASING-MASING HARGA SATUAN</v>
          </cell>
        </row>
        <row r="901">
          <cell r="L901" t="str">
            <v xml:space="preserve">                                                                                                            </v>
          </cell>
        </row>
        <row r="904">
          <cell r="L904" t="str">
            <v>PROYEK</v>
          </cell>
          <cell r="O904" t="str">
            <v>:</v>
          </cell>
        </row>
        <row r="905">
          <cell r="L905" t="str">
            <v>No. PAKET KONTRAK</v>
          </cell>
          <cell r="O905" t="str">
            <v>:</v>
          </cell>
        </row>
        <row r="906">
          <cell r="L906" t="str">
            <v>NAMA PAKET</v>
          </cell>
          <cell r="O906" t="str">
            <v>:</v>
          </cell>
        </row>
        <row r="907">
          <cell r="L907" t="str">
            <v>PROP / KAB / KODYA</v>
          </cell>
          <cell r="O907" t="str">
            <v>:</v>
          </cell>
        </row>
        <row r="908">
          <cell r="L908" t="str">
            <v>ITEM PEMBAYARAN NO.</v>
          </cell>
          <cell r="O908" t="str">
            <v>:  4.2 (6)</v>
          </cell>
          <cell r="R908" t="str">
            <v>PERKIRAAN VOL. PEK.</v>
          </cell>
          <cell r="T908" t="str">
            <v>:</v>
          </cell>
          <cell r="U908">
            <v>0</v>
          </cell>
        </row>
        <row r="909">
          <cell r="L909" t="str">
            <v>JENIS PEKERJAAN</v>
          </cell>
          <cell r="O909" t="str">
            <v>:  Aspal Utk. Pekerjaan Pelaburan</v>
          </cell>
          <cell r="R909" t="str">
            <v>TOTAL HARGA (Rp.)</v>
          </cell>
          <cell r="T909" t="str">
            <v>:</v>
          </cell>
          <cell r="U909">
            <v>0</v>
          </cell>
        </row>
        <row r="910">
          <cell r="L910" t="str">
            <v>SATUAN PEMBAYARAN</v>
          </cell>
          <cell r="O910" t="str">
            <v>:  LITER</v>
          </cell>
          <cell r="R910" t="str">
            <v>% THD. BIAYA PROYEK</v>
          </cell>
          <cell r="T910" t="str">
            <v>:</v>
          </cell>
          <cell r="U910" t="e">
            <v>#DIV/0!</v>
          </cell>
        </row>
        <row r="913">
          <cell r="Q913" t="str">
            <v>PERKIRAAN</v>
          </cell>
          <cell r="R913" t="str">
            <v>HARGA</v>
          </cell>
          <cell r="S913" t="str">
            <v>JUMLAH</v>
          </cell>
        </row>
        <row r="914">
          <cell r="L914" t="str">
            <v>NO.</v>
          </cell>
          <cell r="N914" t="str">
            <v>KOMPONEN</v>
          </cell>
          <cell r="P914" t="str">
            <v>SATUAN</v>
          </cell>
          <cell r="Q914" t="str">
            <v>KUANTITAS</v>
          </cell>
          <cell r="R914" t="str">
            <v>SATUAN</v>
          </cell>
          <cell r="S914" t="str">
            <v>HARGA</v>
          </cell>
        </row>
        <row r="915">
          <cell r="R915" t="str">
            <v>(Rp.)</v>
          </cell>
          <cell r="S915" t="str">
            <v>(Rp.)</v>
          </cell>
        </row>
        <row r="918">
          <cell r="L918" t="str">
            <v>A.</v>
          </cell>
          <cell r="N918" t="str">
            <v>TENAGA</v>
          </cell>
        </row>
        <row r="920">
          <cell r="L920" t="str">
            <v>1.</v>
          </cell>
          <cell r="N920" t="str">
            <v>Pekerja</v>
          </cell>
          <cell r="O920" t="str">
            <v>(L01)</v>
          </cell>
          <cell r="P920" t="str">
            <v>Jam</v>
          </cell>
          <cell r="Q920">
            <v>2.8348688873139617E-2</v>
          </cell>
          <cell r="R920">
            <v>2857.14</v>
          </cell>
          <cell r="U920">
            <v>80.996172927002121</v>
          </cell>
        </row>
        <row r="921">
          <cell r="L921" t="str">
            <v>2.</v>
          </cell>
          <cell r="N921" t="str">
            <v>Mandor</v>
          </cell>
          <cell r="O921" t="str">
            <v>(L03)</v>
          </cell>
          <cell r="P921" t="str">
            <v>Jam</v>
          </cell>
          <cell r="Q921">
            <v>2.8348688873139618E-3</v>
          </cell>
          <cell r="R921">
            <v>3214.29</v>
          </cell>
          <cell r="U921">
            <v>9.1120907158043938</v>
          </cell>
        </row>
        <row r="924">
          <cell r="Q924" t="str">
            <v xml:space="preserve">JUMLAH HARGA TENAGA   </v>
          </cell>
          <cell r="U924">
            <v>90.10826364280652</v>
          </cell>
        </row>
        <row r="926">
          <cell r="L926" t="str">
            <v>B.</v>
          </cell>
          <cell r="N926" t="str">
            <v>BAHAN</v>
          </cell>
        </row>
        <row r="927">
          <cell r="Q927" t="str">
            <v xml:space="preserve"> </v>
          </cell>
        </row>
        <row r="928">
          <cell r="L928" t="str">
            <v>1.</v>
          </cell>
          <cell r="N928" t="str">
            <v>Aspal</v>
          </cell>
          <cell r="O928" t="str">
            <v>(M10)</v>
          </cell>
          <cell r="P928" t="str">
            <v>Kg</v>
          </cell>
          <cell r="Q928">
            <v>1.1000000000000001</v>
          </cell>
          <cell r="R928">
            <v>2086.6280000000002</v>
          </cell>
          <cell r="U928">
            <v>2295.2908000000002</v>
          </cell>
        </row>
        <row r="929">
          <cell r="L929" t="str">
            <v>2.</v>
          </cell>
          <cell r="N929" t="str">
            <v>Minyak Tanah</v>
          </cell>
          <cell r="O929" t="str">
            <v>(M11)</v>
          </cell>
          <cell r="P929" t="str">
            <v>Liter</v>
          </cell>
          <cell r="Q929">
            <v>5.2380952380952514E-2</v>
          </cell>
          <cell r="R929">
            <v>1650</v>
          </cell>
          <cell r="U929">
            <v>86.428571428571644</v>
          </cell>
        </row>
        <row r="934">
          <cell r="Q934" t="str">
            <v xml:space="preserve">JUMLAH HARGA BAHAN   </v>
          </cell>
          <cell r="U934">
            <v>2381.7193714285718</v>
          </cell>
        </row>
        <row r="936">
          <cell r="L936" t="str">
            <v>C.</v>
          </cell>
          <cell r="N936" t="str">
            <v>PERALATAN</v>
          </cell>
        </row>
        <row r="938">
          <cell r="L938" t="str">
            <v>1.</v>
          </cell>
          <cell r="N938" t="str">
            <v>Asphalt Sprayer  (E03)</v>
          </cell>
          <cell r="P938" t="str">
            <v>Jam</v>
          </cell>
          <cell r="Q938">
            <v>2.8348688873139618E-3</v>
          </cell>
          <cell r="R938">
            <v>30575.535383788432</v>
          </cell>
          <cell r="U938">
            <v>86.677633972468982</v>
          </cell>
        </row>
        <row r="939">
          <cell r="L939" t="str">
            <v>2.</v>
          </cell>
          <cell r="N939" t="str">
            <v>Air Compresor    (E05)</v>
          </cell>
          <cell r="P939" t="str">
            <v>Jam</v>
          </cell>
          <cell r="Q939">
            <v>1.7857142857142857E-3</v>
          </cell>
          <cell r="R939">
            <v>53840.365312835944</v>
          </cell>
          <cell r="U939">
            <v>96.143509487207041</v>
          </cell>
        </row>
        <row r="940">
          <cell r="L940" t="str">
            <v>3.</v>
          </cell>
          <cell r="N940" t="str">
            <v>Dump Truck</v>
          </cell>
          <cell r="O940" t="str">
            <v>(E08)</v>
          </cell>
          <cell r="P940" t="str">
            <v>Jam</v>
          </cell>
          <cell r="Q940">
            <v>2.8348688873139618E-3</v>
          </cell>
          <cell r="R940">
            <v>153645.58193291764</v>
          </cell>
          <cell r="U940">
            <v>435.56507989487642</v>
          </cell>
        </row>
        <row r="946">
          <cell r="Q946" t="str">
            <v xml:space="preserve">JUMLAH HARGA PERALATAN   </v>
          </cell>
          <cell r="U946">
            <v>618.38622335455238</v>
          </cell>
        </row>
        <row r="948">
          <cell r="L948" t="str">
            <v>D.</v>
          </cell>
          <cell r="N948" t="str">
            <v>JUMLAH HARGA TENAGA, BAHAN DAN PERALATAN  ( A + B + C )</v>
          </cell>
          <cell r="U948">
            <v>3090.2138584259305</v>
          </cell>
        </row>
        <row r="949">
          <cell r="L949" t="str">
            <v>E.</v>
          </cell>
          <cell r="N949" t="str">
            <v>OVERHEAD &amp; PROFIT</v>
          </cell>
          <cell r="P949">
            <v>10</v>
          </cell>
          <cell r="Q949" t="str">
            <v>%  x  D</v>
          </cell>
          <cell r="U949">
            <v>309.02138584259308</v>
          </cell>
        </row>
        <row r="950">
          <cell r="L950" t="str">
            <v>F.</v>
          </cell>
          <cell r="N950" t="str">
            <v>HARGA SATUAN PEKERJAAN  ( D + E )</v>
          </cell>
          <cell r="U950">
            <v>3399.2352442685237</v>
          </cell>
        </row>
        <row r="951">
          <cell r="L951" t="str">
            <v>Note: 1</v>
          </cell>
          <cell r="N951" t="str">
            <v>SATUAN dapat berdasarkan atas jam operasi untuk Tenaga Kerja dan Peralatan, volume dan/atau ukuran</v>
          </cell>
        </row>
        <row r="952">
          <cell r="N952" t="str">
            <v>berat untuk bahan-bahan.</v>
          </cell>
        </row>
        <row r="953">
          <cell r="L953">
            <v>2</v>
          </cell>
          <cell r="N953" t="str">
            <v>Kuantitas satuan adalah kuantitas setiap komponen untuk menyelesaikan satu satuan pekerjaan dari nomor</v>
          </cell>
        </row>
        <row r="954">
          <cell r="N954" t="str">
            <v>mata pembayaran.</v>
          </cell>
        </row>
        <row r="955">
          <cell r="L955">
            <v>3</v>
          </cell>
          <cell r="N955" t="str">
            <v>Biaya satuan untuk peralatan sudah termasuk bahan bakar, bahan habis dipakai dan operator.</v>
          </cell>
        </row>
        <row r="956">
          <cell r="L956">
            <v>4</v>
          </cell>
          <cell r="N956" t="str">
            <v>Biaya satuan sudah termasuk pengeluaran untuk seluruh pajak yang berkaitan (tetapi tidak termasuk PPN</v>
          </cell>
        </row>
        <row r="957">
          <cell r="N957" t="str">
            <v>yang dibayar dari kontrak) dan biaya-biaya lainnya.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3-DIV5"/>
    </sheetNames>
    <sheetDataSet>
      <sheetData sheetId="0">
        <row r="1">
          <cell r="A1" t="str">
            <v>ITEM PEMBAYARAN NO.</v>
          </cell>
          <cell r="D1" t="str">
            <v>:  5.1 (1)</v>
          </cell>
          <cell r="J1" t="str">
            <v>Analisa EI-511</v>
          </cell>
          <cell r="T1" t="str">
            <v>Analisa EI-511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 xml:space="preserve">                                                                                                            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 xml:space="preserve">:  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 xml:space="preserve">:  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 xml:space="preserve">:  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 xml:space="preserve">:  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5.1 (1)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</v>
          </cell>
          <cell r="T13" t="str">
            <v>:</v>
          </cell>
          <cell r="U13">
            <v>304732.36582799954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>
            <v>7.251312267724303E-3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>Wheel Loader mencampur dan memuat Agregat ke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dengan Motor Grader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C25" t="str">
            <v>Truck sebelum dipadatkan dengan Tandem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Roller dan Pneumatic Tire Roller</v>
          </cell>
        </row>
        <row r="27">
          <cell r="A27">
            <v>4</v>
          </cell>
          <cell r="C27" t="str">
            <v>Selama pemadatan,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  <cell r="L41" t="str">
            <v>1.</v>
          </cell>
          <cell r="N41" t="str">
            <v>Wheel Loader</v>
          </cell>
          <cell r="O41" t="str">
            <v>(E15)</v>
          </cell>
          <cell r="P41" t="str">
            <v>jam</v>
          </cell>
          <cell r="Q41">
            <v>3.5698348951360995E-2</v>
          </cell>
          <cell r="R41">
            <v>163808.13869490434</v>
          </cell>
          <cell r="U41">
            <v>5847.680096203635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2.</v>
          </cell>
          <cell r="N42" t="str">
            <v>Dump Truck</v>
          </cell>
          <cell r="O42" t="str">
            <v>(E09)</v>
          </cell>
          <cell r="P42" t="str">
            <v>jam</v>
          </cell>
          <cell r="Q42">
            <v>0.14542063837680036</v>
          </cell>
          <cell r="R42">
            <v>70230.073977639215</v>
          </cell>
          <cell r="U42">
            <v>10212.90219107821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3.</v>
          </cell>
          <cell r="N43" t="str">
            <v>Motor Grader</v>
          </cell>
          <cell r="O43" t="str">
            <v>(E13)</v>
          </cell>
          <cell r="P43" t="str">
            <v>jam</v>
          </cell>
          <cell r="Q43">
            <v>1.1713520749665328E-2</v>
          </cell>
          <cell r="R43">
            <v>201666.62574070093</v>
          </cell>
          <cell r="U43">
            <v>2362.2262051286921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4.</v>
          </cell>
          <cell r="N44" t="str">
            <v>Vibratory Roller</v>
          </cell>
          <cell r="O44" t="str">
            <v>(E19)</v>
          </cell>
          <cell r="P44" t="str">
            <v>jam</v>
          </cell>
          <cell r="Q44">
            <v>1.7849174475680501E-2</v>
          </cell>
          <cell r="R44">
            <v>234734.82748629327</v>
          </cell>
          <cell r="U44">
            <v>4189.8228913216117</v>
          </cell>
        </row>
        <row r="45">
          <cell r="L45" t="str">
            <v>5.</v>
          </cell>
          <cell r="N45" t="str">
            <v>P. Tyre Roller</v>
          </cell>
          <cell r="O45" t="str">
            <v>(E18)</v>
          </cell>
          <cell r="P45" t="str">
            <v>jam</v>
          </cell>
          <cell r="Q45">
            <v>4.2838018741633201E-3</v>
          </cell>
          <cell r="R45">
            <v>113384.24751021285</v>
          </cell>
          <cell r="U45">
            <v>485.71565198484757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6.</v>
          </cell>
          <cell r="N46" t="str">
            <v>Water Tanker</v>
          </cell>
          <cell r="O46" t="str">
            <v>(E23)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D47" t="str">
            <v>Fk x Ts1</v>
          </cell>
          <cell r="L47" t="str">
            <v>7.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24586.430098557481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277029.42347999959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27702.94234799996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304732.36582799954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11.633333333333333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8.7249999999999996</v>
          </cell>
          <cell r="I57" t="str">
            <v>menit</v>
          </cell>
          <cell r="N57" t="str">
            <v>mata pembayaran.</v>
          </cell>
        </row>
        <row r="58">
          <cell r="C58" t="str">
            <v>- Dump dan lain-lain</v>
          </cell>
          <cell r="G58" t="str">
            <v>T4</v>
          </cell>
          <cell r="H58">
            <v>3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36.20973895582329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hal. berikut</v>
          </cell>
        </row>
        <row r="62">
          <cell r="A62" t="str">
            <v>ITEM PEMBAYARAN NO.</v>
          </cell>
          <cell r="D62" t="str">
            <v>:  5.1 (1)</v>
          </cell>
          <cell r="J62" t="str">
            <v>Analisa EI-511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0.14542063837680036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KM/jam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 xml:space="preserve"> 3 x pp</v>
          </cell>
        </row>
        <row r="80">
          <cell r="C80" t="str">
            <v>Waktu Siklus :</v>
          </cell>
          <cell r="G80" t="str">
            <v>Ts3</v>
          </cell>
        </row>
        <row r="81">
          <cell r="C81" t="str">
            <v>- Perataan 1 lintasan  =  Lh : (v x 1000) x 60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 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 1  : 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 xml:space="preserve">   2.d.</v>
          </cell>
          <cell r="C89" t="str">
            <v>VIBRATORY ROLLER</v>
          </cell>
          <cell r="G89" t="str">
            <v>(E19)</v>
          </cell>
        </row>
        <row r="90">
          <cell r="C90" t="str">
            <v>Kecepatan rata-rata alat</v>
          </cell>
          <cell r="G90" t="str">
            <v>v</v>
          </cell>
          <cell r="H90">
            <v>3</v>
          </cell>
          <cell r="I90" t="str">
            <v>KM/jam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 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 1  :  Q4</v>
          </cell>
          <cell r="G97" t="str">
            <v>(E19)</v>
          </cell>
          <cell r="H97">
            <v>1.7849174475680501E-2</v>
          </cell>
          <cell r="I97" t="str">
            <v>jam</v>
          </cell>
        </row>
        <row r="99">
          <cell r="A99" t="str">
            <v xml:space="preserve">   2.e.</v>
          </cell>
          <cell r="C99" t="str">
            <v>PNEUMATIC TIRE ROLLER</v>
          </cell>
          <cell r="G99" t="str">
            <v>(E18)</v>
          </cell>
        </row>
        <row r="100">
          <cell r="C100" t="str">
            <v>Kecepatan rata-rata alat</v>
          </cell>
          <cell r="G100" t="str">
            <v>v</v>
          </cell>
          <cell r="H100">
            <v>5</v>
          </cell>
          <cell r="I100" t="str">
            <v>KM/jam</v>
          </cell>
        </row>
        <row r="101">
          <cell r="C101" t="str">
            <v>Lebar efektif pemadatan</v>
          </cell>
          <cell r="G101" t="str">
            <v>b</v>
          </cell>
          <cell r="H101">
            <v>1.5</v>
          </cell>
          <cell r="I101" t="str">
            <v>M</v>
          </cell>
        </row>
        <row r="102">
          <cell r="C102" t="str">
            <v>Jumlah lintasan</v>
          </cell>
          <cell r="G102" t="str">
            <v>n</v>
          </cell>
          <cell r="H102">
            <v>4</v>
          </cell>
          <cell r="I102" t="str">
            <v>lintasan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 Prod. / jam =</v>
          </cell>
          <cell r="D105" t="str">
            <v>(v x 1000) x b x t x Fa</v>
          </cell>
          <cell r="G105" t="str">
            <v>Q5</v>
          </cell>
          <cell r="H105">
            <v>233.4375</v>
          </cell>
          <cell r="I105" t="str">
            <v>M3</v>
          </cell>
        </row>
        <row r="106">
          <cell r="D106" t="str">
            <v>n</v>
          </cell>
        </row>
        <row r="107">
          <cell r="C107" t="str">
            <v>Koefisien Alat / M3</v>
          </cell>
          <cell r="D107" t="str">
            <v xml:space="preserve"> =  1  :  Q5</v>
          </cell>
          <cell r="G107" t="str">
            <v>(E18)</v>
          </cell>
          <cell r="H107">
            <v>4.2838018741633201E-3</v>
          </cell>
          <cell r="I107" t="str">
            <v>jam</v>
          </cell>
        </row>
        <row r="109">
          <cell r="A109" t="str">
            <v xml:space="preserve">   2.f.</v>
          </cell>
          <cell r="C109" t="str">
            <v>WATER TANK TRUCK</v>
          </cell>
          <cell r="G109" t="str">
            <v>(E23)</v>
          </cell>
        </row>
        <row r="110">
          <cell r="C110" t="str">
            <v>Volume tanki air</v>
          </cell>
          <cell r="G110" t="str">
            <v>V</v>
          </cell>
          <cell r="H110">
            <v>4</v>
          </cell>
          <cell r="I110" t="str">
            <v>M3</v>
          </cell>
        </row>
        <row r="111">
          <cell r="C111" t="str">
            <v>Kebutuhan air / M3 agregat padat</v>
          </cell>
          <cell r="G111" t="str">
            <v>Wc</v>
          </cell>
          <cell r="H111">
            <v>7.0000000000000007E-2</v>
          </cell>
          <cell r="I111" t="str">
            <v>M3</v>
          </cell>
        </row>
        <row r="112">
          <cell r="C112" t="str">
            <v>Pengisian tanki / jam</v>
          </cell>
          <cell r="G112" t="str">
            <v>n</v>
          </cell>
          <cell r="H112">
            <v>1</v>
          </cell>
          <cell r="I112" t="str">
            <v>kali</v>
          </cell>
        </row>
        <row r="113">
          <cell r="C113" t="str">
            <v>Faktor Efisiensi alat</v>
          </cell>
          <cell r="G113" t="str">
            <v>Fa</v>
          </cell>
          <cell r="H113">
            <v>0.83</v>
          </cell>
          <cell r="I113" t="str">
            <v>-</v>
          </cell>
        </row>
        <row r="115">
          <cell r="C115" t="str">
            <v>Kap. Prod. / jam =</v>
          </cell>
          <cell r="D115" t="str">
            <v>V x n x Fa</v>
          </cell>
          <cell r="G115" t="str">
            <v>Q6</v>
          </cell>
          <cell r="H115">
            <v>47.428571428571423</v>
          </cell>
          <cell r="I115" t="str">
            <v>M3</v>
          </cell>
        </row>
        <row r="116">
          <cell r="D116" t="str">
            <v>Wc</v>
          </cell>
        </row>
        <row r="117">
          <cell r="C117" t="str">
            <v>Koefisien Alat / M3</v>
          </cell>
          <cell r="D117" t="str">
            <v xml:space="preserve"> =  1  :  Q6</v>
          </cell>
          <cell r="G117" t="str">
            <v>(E23)</v>
          </cell>
          <cell r="H117">
            <v>2.1084337349397592E-2</v>
          </cell>
          <cell r="I117" t="str">
            <v>jam</v>
          </cell>
        </row>
        <row r="120">
          <cell r="J120" t="str">
            <v>Berlanjut ke hal. berikut</v>
          </cell>
        </row>
        <row r="121">
          <cell r="A121" t="str">
            <v>ITEM PEMBAYARAN NO.</v>
          </cell>
          <cell r="D121" t="str">
            <v>:  5.1 (1)</v>
          </cell>
          <cell r="J121" t="str">
            <v>Analisa EI-511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2.g.</v>
          </cell>
          <cell r="C129" t="str">
            <v>ALAT BANTU</v>
          </cell>
          <cell r="J129" t="str">
            <v xml:space="preserve"> Lump Sum</v>
          </cell>
        </row>
        <row r="130">
          <cell r="C130" t="str">
            <v>Diperlukan   :</v>
          </cell>
        </row>
        <row r="131">
          <cell r="C131" t="str">
            <v>- Kereta dorong</v>
          </cell>
          <cell r="D131" t="str">
            <v>=  2  buah.</v>
          </cell>
        </row>
        <row r="132">
          <cell r="C132" t="str">
            <v>- Sekop</v>
          </cell>
          <cell r="D132" t="str">
            <v>=  3  buah.</v>
          </cell>
        </row>
        <row r="133">
          <cell r="C133" t="str">
            <v>- Garpu</v>
          </cell>
          <cell r="D133" t="str">
            <v>=  2  buah.</v>
          </cell>
        </row>
        <row r="135">
          <cell r="A135" t="str">
            <v xml:space="preserve">   3.</v>
          </cell>
          <cell r="C135" t="str">
            <v>TENAGA</v>
          </cell>
        </row>
        <row r="136">
          <cell r="C136" t="str">
            <v>Produksi menentukan : WHEEL LOADER</v>
          </cell>
          <cell r="G136" t="str">
            <v>Q1</v>
          </cell>
          <cell r="H136">
            <v>28.012500000000003</v>
          </cell>
          <cell r="I136" t="str">
            <v>M3/jam</v>
          </cell>
        </row>
        <row r="137">
          <cell r="C137" t="str">
            <v>Produksi agregat / hari  =  Tk x Q1</v>
          </cell>
          <cell r="G137" t="str">
            <v>Qt</v>
          </cell>
          <cell r="H137">
            <v>196.08750000000003</v>
          </cell>
          <cell r="I137" t="str">
            <v>M3</v>
          </cell>
        </row>
        <row r="138">
          <cell r="C138" t="str">
            <v>Kebutuhan tenaga :</v>
          </cell>
        </row>
        <row r="139">
          <cell r="D139" t="str">
            <v>- Pekerja</v>
          </cell>
          <cell r="G139" t="str">
            <v>P</v>
          </cell>
          <cell r="H139">
            <v>7</v>
          </cell>
          <cell r="I139" t="str">
            <v>orang</v>
          </cell>
        </row>
        <row r="140">
          <cell r="D140" t="str">
            <v>- Mandor</v>
          </cell>
          <cell r="G140" t="str">
            <v>M</v>
          </cell>
          <cell r="H140">
            <v>1</v>
          </cell>
          <cell r="I140" t="str">
            <v>orang</v>
          </cell>
        </row>
        <row r="142">
          <cell r="C142" t="str">
            <v>Koefisien tenaga / M3   :</v>
          </cell>
        </row>
        <row r="143">
          <cell r="D143" t="str">
            <v>- Pekerja</v>
          </cell>
          <cell r="E143" t="str">
            <v>= (Tk x P) : Qt</v>
          </cell>
          <cell r="G143" t="str">
            <v>(L01)</v>
          </cell>
          <cell r="H143">
            <v>0.24988844265952695</v>
          </cell>
          <cell r="I143" t="str">
            <v>jam</v>
          </cell>
        </row>
        <row r="144">
          <cell r="D144" t="str">
            <v>- Mandor</v>
          </cell>
          <cell r="E144" t="str">
            <v>= (Tk x M) : Qt</v>
          </cell>
          <cell r="G144" t="str">
            <v>(L03)</v>
          </cell>
          <cell r="H144">
            <v>3.5698348951360995E-2</v>
          </cell>
          <cell r="I144" t="str">
            <v>jam</v>
          </cell>
        </row>
        <row r="146">
          <cell r="A146" t="str">
            <v>4.</v>
          </cell>
          <cell r="C146" t="str">
            <v>HARGA DASAR SATUAN UPAH, BAHAN DAN ALAT</v>
          </cell>
        </row>
        <row r="147">
          <cell r="C147" t="str">
            <v>Lihat lampiran.</v>
          </cell>
        </row>
        <row r="149">
          <cell r="A149" t="str">
            <v>5.</v>
          </cell>
          <cell r="C149" t="str">
            <v>ANALISA HARGA SATUAN PEKERJAAN</v>
          </cell>
        </row>
        <row r="150">
          <cell r="C150" t="str">
            <v>Lihat perhitungan dalam FORMULIR STANDAR UNTUK</v>
          </cell>
        </row>
        <row r="151">
          <cell r="C151" t="str">
            <v>PEREKAMAN ANALISA MASING-MASING HARGA</v>
          </cell>
        </row>
        <row r="152">
          <cell r="C152" t="str">
            <v>SATUAN.</v>
          </cell>
        </row>
        <row r="153">
          <cell r="C153" t="str">
            <v>Didapat Harga Satuan Pekerjaan :</v>
          </cell>
        </row>
        <row r="155">
          <cell r="C155" t="str">
            <v xml:space="preserve">Rp.  </v>
          </cell>
          <cell r="D155">
            <v>304732.36582799954</v>
          </cell>
          <cell r="E155" t="str">
            <v xml:space="preserve"> / M3.</v>
          </cell>
        </row>
        <row r="158">
          <cell r="A158" t="str">
            <v>6.</v>
          </cell>
          <cell r="C158" t="str">
            <v>WAKTU PELAKSANAAN YANG DIPERLUKAN</v>
          </cell>
        </row>
        <row r="159">
          <cell r="C159" t="str">
            <v>Masa Pelaksanaan :</v>
          </cell>
          <cell r="D159" t="str">
            <v>. . . . . . . . . . . .</v>
          </cell>
          <cell r="E159" t="str">
            <v>bulan</v>
          </cell>
        </row>
        <row r="161">
          <cell r="A161" t="str">
            <v>7.</v>
          </cell>
          <cell r="C161" t="str">
            <v>VOLUME PEKERJAAN YANG DIPERLUKAN</v>
          </cell>
        </row>
        <row r="162">
          <cell r="C162" t="str">
            <v>Volume pekerjaan  :</v>
          </cell>
          <cell r="D162">
            <v>1</v>
          </cell>
          <cell r="E162" t="str">
            <v>M3</v>
          </cell>
        </row>
        <row r="180">
          <cell r="A180" t="str">
            <v>ITEM PEMBAYARAN NO.</v>
          </cell>
          <cell r="D180" t="str">
            <v>:  5.1 (2)</v>
          </cell>
          <cell r="J180" t="str">
            <v>Analisa EI-512</v>
          </cell>
          <cell r="T180" t="str">
            <v>Analisa EI-512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 xml:space="preserve">                                                                                                            </v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 xml:space="preserve">:  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 xml:space="preserve">:  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 xml:space="preserve">:  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 xml:space="preserve">:  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5.1 (2)</v>
          </cell>
          <cell r="R191" t="str">
            <v>PERKIRAAN VOL. PEK.</v>
          </cell>
          <cell r="T191" t="str">
            <v>:</v>
          </cell>
          <cell r="U191">
            <v>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</v>
          </cell>
          <cell r="T192" t="str">
            <v>:</v>
          </cell>
          <cell r="U192">
            <v>339061.22823589185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>
            <v>8.0681907126475844E-3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>Wheel Loader mencampur dan memuat Agregat ke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Motor Grader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C205" t="str">
            <v>Truck sebelum dipadatkan dengan Tandem</v>
          </cell>
        </row>
        <row r="206">
          <cell r="C206" t="str">
            <v>Roller dan Pneumatic Tire Roller</v>
          </cell>
        </row>
        <row r="207">
          <cell r="A207">
            <v>4</v>
          </cell>
          <cell r="C207" t="str">
            <v>Selama pemadatan,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  <cell r="L220" t="str">
            <v>1.</v>
          </cell>
          <cell r="N220" t="str">
            <v>Wheel Loader</v>
          </cell>
          <cell r="O220" t="str">
            <v>(E15)</v>
          </cell>
          <cell r="P220" t="str">
            <v>jam</v>
          </cell>
          <cell r="Q220">
            <v>3.5698348951360995E-2</v>
          </cell>
          <cell r="R220">
            <v>163808.13869490434</v>
          </cell>
          <cell r="U220">
            <v>5847.680096203635</v>
          </cell>
        </row>
        <row r="221">
          <cell r="C221" t="str">
            <v>- Mencampur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2.</v>
          </cell>
          <cell r="N221" t="str">
            <v>Dump Truck</v>
          </cell>
          <cell r="O221" t="str">
            <v>(E09)</v>
          </cell>
          <cell r="P221" t="str">
            <v>jam</v>
          </cell>
          <cell r="Q221">
            <v>0.14542063837680036</v>
          </cell>
          <cell r="R221">
            <v>70230.073977639215</v>
          </cell>
          <cell r="U221">
            <v>10212.90219107821</v>
          </cell>
        </row>
        <row r="222">
          <cell r="C222" t="str">
            <v>- Memuat dan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3.</v>
          </cell>
          <cell r="N222" t="str">
            <v>Motor Grader</v>
          </cell>
          <cell r="O222" t="str">
            <v>(E13)</v>
          </cell>
          <cell r="P222" t="str">
            <v>jam</v>
          </cell>
          <cell r="Q222">
            <v>1.1713520749665328E-2</v>
          </cell>
          <cell r="R222">
            <v>201666.62574070093</v>
          </cell>
          <cell r="U222">
            <v>2362.2262051286921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4.</v>
          </cell>
          <cell r="N223" t="str">
            <v>Vibratory Roller</v>
          </cell>
          <cell r="O223" t="str">
            <v>(E19)</v>
          </cell>
          <cell r="P223" t="str">
            <v>jam</v>
          </cell>
          <cell r="Q223">
            <v>1.7849174475680501E-2</v>
          </cell>
          <cell r="R223">
            <v>234734.82748629327</v>
          </cell>
          <cell r="U223">
            <v>4189.8228913216117</v>
          </cell>
        </row>
        <row r="224">
          <cell r="L224" t="str">
            <v>5.</v>
          </cell>
          <cell r="N224" t="str">
            <v>P. Tyre Roller</v>
          </cell>
          <cell r="O224" t="str">
            <v>(E18)</v>
          </cell>
          <cell r="P224" t="str">
            <v>jam</v>
          </cell>
          <cell r="Q224">
            <v>4.2838018741633201E-3</v>
          </cell>
          <cell r="R224">
            <v>113384.24751021285</v>
          </cell>
          <cell r="U224">
            <v>485.71565198484757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6.</v>
          </cell>
          <cell r="N225" t="str">
            <v>Water Tanker</v>
          </cell>
          <cell r="O225" t="str">
            <v>(E23)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D226" t="str">
            <v>Fk x Ts1</v>
          </cell>
          <cell r="L226" t="str">
            <v>7.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24586.430098557481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308237.48021444713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30823.748021444713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339061.22823589185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11.633333333333333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8.7249999999999996</v>
          </cell>
          <cell r="I236" t="str">
            <v>menit</v>
          </cell>
          <cell r="N236" t="str">
            <v>mata pembayaran.</v>
          </cell>
        </row>
        <row r="237">
          <cell r="C237" t="str">
            <v>- Dump dan lain-lain</v>
          </cell>
          <cell r="G237" t="str">
            <v>T4</v>
          </cell>
          <cell r="H237">
            <v>3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36.20973895582329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hal. berikut</v>
          </cell>
        </row>
        <row r="241">
          <cell r="A241" t="str">
            <v>ITEM PEMBAYARAN NO.</v>
          </cell>
          <cell r="D241" t="str">
            <v>:  5.1 (2)</v>
          </cell>
          <cell r="J241" t="str">
            <v>Analisa EI-512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-</v>
          </cell>
          <cell r="H251">
            <v>0.14542063837680036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KM/jam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 xml:space="preserve"> 3 x pp</v>
          </cell>
        </row>
        <row r="259">
          <cell r="C259" t="str">
            <v>Waktu Siklus :</v>
          </cell>
          <cell r="G259" t="str">
            <v>Ts3</v>
          </cell>
        </row>
        <row r="260">
          <cell r="C260" t="str">
            <v>- Perataan 1 lintasan  =  Lh : (v x 1000) x 60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 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 1  : 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 xml:space="preserve">   2.d.</v>
          </cell>
          <cell r="C268" t="str">
            <v>VIBRATORY ROLLER</v>
          </cell>
          <cell r="G268" t="str">
            <v>(E19)</v>
          </cell>
        </row>
        <row r="269">
          <cell r="C269" t="str">
            <v>Kecepatan rata-rata alat</v>
          </cell>
          <cell r="G269" t="str">
            <v>v</v>
          </cell>
          <cell r="H269">
            <v>3</v>
          </cell>
          <cell r="I269" t="str">
            <v>KM/jam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 Prod. / 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 1  :  Q4</v>
          </cell>
          <cell r="G276" t="str">
            <v>(E19)</v>
          </cell>
          <cell r="H276">
            <v>1.7849174475680501E-2</v>
          </cell>
          <cell r="I276" t="str">
            <v>jam</v>
          </cell>
        </row>
        <row r="278">
          <cell r="A278" t="str">
            <v xml:space="preserve">   2.e.</v>
          </cell>
          <cell r="C278" t="str">
            <v>PNEUMATIC TIRE ROLLER</v>
          </cell>
          <cell r="G278" t="str">
            <v>(E18)</v>
          </cell>
        </row>
        <row r="279">
          <cell r="C279" t="str">
            <v>Kecepatan rata-rata alat</v>
          </cell>
          <cell r="G279" t="str">
            <v>v</v>
          </cell>
          <cell r="H279">
            <v>5</v>
          </cell>
          <cell r="I279" t="str">
            <v>KM/jam</v>
          </cell>
        </row>
        <row r="280">
          <cell r="C280" t="str">
            <v>Lebar efektif pemadatan</v>
          </cell>
          <cell r="G280" t="str">
            <v>b</v>
          </cell>
          <cell r="H280">
            <v>1.5</v>
          </cell>
          <cell r="I280" t="str">
            <v>M</v>
          </cell>
        </row>
        <row r="281">
          <cell r="C281" t="str">
            <v>Jumlah lintasan</v>
          </cell>
          <cell r="G281" t="str">
            <v>n</v>
          </cell>
          <cell r="H281">
            <v>4</v>
          </cell>
          <cell r="I281" t="str">
            <v>lintasan</v>
          </cell>
        </row>
        <row r="282">
          <cell r="C282" t="str">
            <v>Faktor 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4">
          <cell r="C284" t="str">
            <v>Kap. Prod. / jam =</v>
          </cell>
          <cell r="D284" t="str">
            <v>(v x 1000) x b x t x Fa</v>
          </cell>
          <cell r="G284" t="str">
            <v>Q5</v>
          </cell>
          <cell r="H284">
            <v>233.4375</v>
          </cell>
          <cell r="I284" t="str">
            <v>M3</v>
          </cell>
        </row>
        <row r="285">
          <cell r="D285" t="str">
            <v>n</v>
          </cell>
        </row>
        <row r="286">
          <cell r="C286" t="str">
            <v>Koefisien Alat / M3</v>
          </cell>
          <cell r="D286" t="str">
            <v xml:space="preserve"> =  1  :  Q5</v>
          </cell>
          <cell r="G286" t="str">
            <v>(E18)</v>
          </cell>
          <cell r="H286">
            <v>4.2838018741633201E-3</v>
          </cell>
          <cell r="I286" t="str">
            <v>jam</v>
          </cell>
        </row>
        <row r="288">
          <cell r="A288" t="str">
            <v xml:space="preserve">   2.f.</v>
          </cell>
          <cell r="C288" t="str">
            <v>WATER TANK TRUCK</v>
          </cell>
          <cell r="G288" t="str">
            <v>(E23)</v>
          </cell>
        </row>
        <row r="289">
          <cell r="C289" t="str">
            <v>Volume tanki air</v>
          </cell>
          <cell r="G289" t="str">
            <v>V</v>
          </cell>
          <cell r="H289">
            <v>4</v>
          </cell>
          <cell r="I289" t="str">
            <v>M3</v>
          </cell>
        </row>
        <row r="290">
          <cell r="C290" t="str">
            <v>Kebutuhan air / M3 agregat padat</v>
          </cell>
          <cell r="G290" t="str">
            <v>Wc</v>
          </cell>
          <cell r="H290">
            <v>7.0000000000000007E-2</v>
          </cell>
          <cell r="I290" t="str">
            <v>M3</v>
          </cell>
        </row>
        <row r="291">
          <cell r="C291" t="str">
            <v>Pengisian tanki / jam</v>
          </cell>
          <cell r="G291" t="str">
            <v>n</v>
          </cell>
          <cell r="H291">
            <v>1</v>
          </cell>
          <cell r="I291" t="str">
            <v>kali</v>
          </cell>
        </row>
        <row r="292">
          <cell r="C292" t="str">
            <v>Faktor Efisiensi alat</v>
          </cell>
          <cell r="G292" t="str">
            <v>Fa</v>
          </cell>
          <cell r="H292">
            <v>0.83</v>
          </cell>
          <cell r="I292" t="str">
            <v>-</v>
          </cell>
        </row>
        <row r="294">
          <cell r="C294" t="str">
            <v>Kap. Prod. / jam =</v>
          </cell>
          <cell r="D294" t="str">
            <v>V x n x Fa</v>
          </cell>
          <cell r="G294" t="str">
            <v>Q6</v>
          </cell>
          <cell r="H294">
            <v>47.428571428571423</v>
          </cell>
          <cell r="I294" t="str">
            <v>M3</v>
          </cell>
        </row>
        <row r="295">
          <cell r="D295" t="str">
            <v>Wc</v>
          </cell>
        </row>
        <row r="296">
          <cell r="C296" t="str">
            <v>Koefisien Alat / M3</v>
          </cell>
          <cell r="D296" t="str">
            <v xml:space="preserve"> =  1  :  Q6</v>
          </cell>
          <cell r="G296" t="str">
            <v>(E23)</v>
          </cell>
          <cell r="H296">
            <v>2.1084337349397592E-2</v>
          </cell>
          <cell r="I296" t="str">
            <v>jam</v>
          </cell>
        </row>
        <row r="299">
          <cell r="J299" t="str">
            <v>Berlanjut ke hal. berikut</v>
          </cell>
        </row>
        <row r="300">
          <cell r="A300" t="str">
            <v>ITEM PEMBAYARAN NO.</v>
          </cell>
          <cell r="D300" t="str">
            <v>:  5.1 (2)</v>
          </cell>
          <cell r="J300" t="str">
            <v>Analisa EI-512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2.g.</v>
          </cell>
          <cell r="C308" t="str">
            <v>ALAT BANTU</v>
          </cell>
          <cell r="J308" t="str">
            <v xml:space="preserve"> Lump Sum</v>
          </cell>
        </row>
        <row r="309">
          <cell r="C309" t="str">
            <v>Diperlukan   :</v>
          </cell>
        </row>
        <row r="310">
          <cell r="C310" t="str">
            <v>- Kereta dorong</v>
          </cell>
          <cell r="D310" t="str">
            <v>=  2  buah.</v>
          </cell>
        </row>
        <row r="311">
          <cell r="C311" t="str">
            <v>- Sekop</v>
          </cell>
          <cell r="D311" t="str">
            <v>=  3  buah.</v>
          </cell>
        </row>
        <row r="312">
          <cell r="C312" t="str">
            <v>- Garpu</v>
          </cell>
          <cell r="D312" t="str">
            <v>=  2  buah.</v>
          </cell>
        </row>
        <row r="314">
          <cell r="A314" t="str">
            <v xml:space="preserve">   3.</v>
          </cell>
          <cell r="C314" t="str">
            <v>TENAGA</v>
          </cell>
        </row>
        <row r="315">
          <cell r="C315" t="str">
            <v>Produksi menentukan : WHEEL LOADER</v>
          </cell>
          <cell r="G315" t="str">
            <v>Q1</v>
          </cell>
          <cell r="H315">
            <v>28.012500000000003</v>
          </cell>
          <cell r="I315" t="str">
            <v>M3/jam</v>
          </cell>
        </row>
        <row r="316">
          <cell r="C316" t="str">
            <v>Produksi agregat / hari  =  Tk x Q1</v>
          </cell>
          <cell r="G316" t="str">
            <v>Qt</v>
          </cell>
          <cell r="H316">
            <v>196.08750000000003</v>
          </cell>
          <cell r="I316" t="str">
            <v>M3</v>
          </cell>
        </row>
        <row r="317">
          <cell r="C317" t="str">
            <v>Kebutuhan tenaga :</v>
          </cell>
        </row>
        <row r="318">
          <cell r="D318" t="str">
            <v>- Pekerja</v>
          </cell>
          <cell r="G318" t="str">
            <v>P</v>
          </cell>
          <cell r="H318">
            <v>7</v>
          </cell>
          <cell r="I318" t="str">
            <v>orang</v>
          </cell>
        </row>
        <row r="319">
          <cell r="D319" t="str">
            <v>- Mandor</v>
          </cell>
          <cell r="G319" t="str">
            <v>M</v>
          </cell>
          <cell r="H319">
            <v>1</v>
          </cell>
          <cell r="I319" t="str">
            <v>orang</v>
          </cell>
        </row>
        <row r="321">
          <cell r="C321" t="str">
            <v>Koefisien tenaga / M3   :</v>
          </cell>
        </row>
        <row r="322">
          <cell r="D322" t="str">
            <v>- Pekerja</v>
          </cell>
          <cell r="E322" t="str">
            <v>= (Tk x P) : Qt</v>
          </cell>
          <cell r="G322" t="str">
            <v>-</v>
          </cell>
          <cell r="H322">
            <v>0.24988844265952695</v>
          </cell>
          <cell r="I322" t="str">
            <v>jam</v>
          </cell>
        </row>
        <row r="323">
          <cell r="D323" t="str">
            <v>- Mandor</v>
          </cell>
          <cell r="E323" t="str">
            <v>= (Tk x M) : Qt</v>
          </cell>
          <cell r="G323" t="str">
            <v>-</v>
          </cell>
          <cell r="H323">
            <v>3.5698348951360995E-2</v>
          </cell>
          <cell r="I323" t="str">
            <v>jam</v>
          </cell>
        </row>
        <row r="325">
          <cell r="A325" t="str">
            <v>4.</v>
          </cell>
          <cell r="C325" t="str">
            <v>HARGA DASAR SATUAN UPAH, BAHAN DAN ALAT</v>
          </cell>
        </row>
        <row r="326">
          <cell r="C326" t="str">
            <v>Lihat lampiran.</v>
          </cell>
        </row>
        <row r="328">
          <cell r="A328" t="str">
            <v>5.</v>
          </cell>
          <cell r="C328" t="str">
            <v>ANALISA HARGA SATUAN PEKERJAAN</v>
          </cell>
        </row>
        <row r="329">
          <cell r="C329" t="str">
            <v>Lihat perhitungan dalam FORMULIR STANDAR UNTUK</v>
          </cell>
        </row>
        <row r="330">
          <cell r="C330" t="str">
            <v>PEREKAMAN ANALISA MASING-MASING HARGA</v>
          </cell>
        </row>
        <row r="331">
          <cell r="C331" t="str">
            <v>SATUAN.</v>
          </cell>
        </row>
        <row r="332">
          <cell r="C332" t="str">
            <v>Didapat Harga Satuan Pekerjaan :</v>
          </cell>
        </row>
        <row r="334">
          <cell r="C334" t="str">
            <v xml:space="preserve">Rp.  </v>
          </cell>
          <cell r="D334">
            <v>339061.22823589185</v>
          </cell>
          <cell r="E334" t="str">
            <v xml:space="preserve"> / M3.</v>
          </cell>
        </row>
        <row r="337">
          <cell r="A337" t="str">
            <v>6.</v>
          </cell>
          <cell r="C337" t="str">
            <v>WAKTU PELAKSANAAN YANG DIPERLUKAN</v>
          </cell>
        </row>
        <row r="338">
          <cell r="C338" t="str">
            <v>Masa Pelaksanaan :</v>
          </cell>
          <cell r="D338" t="str">
            <v>. . . . . . . . . . . .</v>
          </cell>
          <cell r="E338" t="str">
            <v>bulan</v>
          </cell>
        </row>
        <row r="340">
          <cell r="A340" t="str">
            <v>7.</v>
          </cell>
          <cell r="C340" t="str">
            <v>VOLUME PEKERJAAN YANG DIPERLUKAN</v>
          </cell>
        </row>
        <row r="341">
          <cell r="C341" t="str">
            <v>Volume pekerjaan  :</v>
          </cell>
          <cell r="D341">
            <v>1</v>
          </cell>
          <cell r="E341" t="str">
            <v>M3</v>
          </cell>
        </row>
        <row r="359">
          <cell r="A359" t="str">
            <v>ITEM PEMBAYARAN NO.</v>
          </cell>
          <cell r="D359" t="str">
            <v>:  5.1 (3)</v>
          </cell>
          <cell r="J359" t="str">
            <v>Analisa EI-521</v>
          </cell>
          <cell r="T359" t="str">
            <v>Analisa EI-521</v>
          </cell>
        </row>
        <row r="360">
          <cell r="A360" t="str">
            <v>JENIS PEKERJAAN</v>
          </cell>
          <cell r="D360" t="str">
            <v>:  Lapis Pondasi Agregat Kelas C</v>
          </cell>
        </row>
        <row r="361">
          <cell r="A361" t="str">
            <v>SATUAN PEMBAYARAN</v>
          </cell>
          <cell r="D361" t="str">
            <v>:  M3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 t="str">
            <v xml:space="preserve">                                                                                                            </v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 xml:space="preserve">:  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 xml:space="preserve">:  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 xml:space="preserve">:  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 xml:space="preserve">:  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5.1 (3)</v>
          </cell>
          <cell r="R370" t="str">
            <v>PERKIRAAN VOL. PEK.</v>
          </cell>
          <cell r="T370" t="str">
            <v>:</v>
          </cell>
          <cell r="U370">
            <v>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Lapis Pondasi Agregat Kelas C</v>
          </cell>
          <cell r="R371" t="str">
            <v>TOTAL HARGA</v>
          </cell>
          <cell r="T371" t="str">
            <v>:</v>
          </cell>
          <cell r="U371">
            <v>252395.66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L372" t="str">
            <v>SATUAN PEMBAYARAN</v>
          </cell>
          <cell r="O372" t="str">
            <v>:  M3</v>
          </cell>
          <cell r="R372" t="str">
            <v>% THD. BIAYA PROYEK</v>
          </cell>
          <cell r="T372" t="str">
            <v>:</v>
          </cell>
          <cell r="U372">
            <v>6.005925037550471E-3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1.35</v>
          </cell>
          <cell r="I373" t="str">
            <v>-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5"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A376" t="str">
            <v>II.</v>
          </cell>
          <cell r="C376" t="str">
            <v>URUTAN KERJA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1</v>
          </cell>
          <cell r="C377" t="str">
            <v>Wheel Loader memuat Agregat ke dalam Dump</v>
          </cell>
          <cell r="R377" t="str">
            <v>(Rp.)</v>
          </cell>
          <cell r="S377" t="str">
            <v>(Rp.)</v>
          </cell>
        </row>
        <row r="378">
          <cell r="C378" t="str">
            <v>Tuck di Base Camp</v>
          </cell>
        </row>
        <row r="379">
          <cell r="A379">
            <v>2</v>
          </cell>
          <cell r="C379" t="str">
            <v>Dump Truck mengangkut Agregat ke lokasi</v>
          </cell>
        </row>
        <row r="380">
          <cell r="C380" t="str">
            <v>pekerjaandan dihampar dengan Motor Grader</v>
          </cell>
          <cell r="L380" t="str">
            <v>A.</v>
          </cell>
          <cell r="N380" t="str">
            <v>TENAGA</v>
          </cell>
        </row>
        <row r="381">
          <cell r="A381">
            <v>3</v>
          </cell>
          <cell r="C381" t="str">
            <v>Hamparan Agregat dibasahi dengan Water Tank</v>
          </cell>
        </row>
        <row r="382">
          <cell r="C382" t="str">
            <v>Truck sebelum dipadatkan dengan Tandem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7.0281124497991981E-2</v>
          </cell>
          <cell r="R382">
            <v>2857.14</v>
          </cell>
          <cell r="U382">
            <v>200.80301204819281</v>
          </cell>
        </row>
        <row r="383">
          <cell r="C383" t="str">
            <v>Roller dan Pneumatic  Tire Roller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1.0040160642570283E-2</v>
          </cell>
          <cell r="R383">
            <v>3214.29</v>
          </cell>
          <cell r="U383">
            <v>32.271987951807233</v>
          </cell>
        </row>
        <row r="384">
          <cell r="A384">
            <v>4</v>
          </cell>
          <cell r="C384" t="str">
            <v>Selama pemadatan sekelompok pekerja akan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  <cell r="Q386" t="str">
            <v xml:space="preserve">JUMLAH HARGA TENAGA   </v>
          </cell>
          <cell r="U386">
            <v>233.07500000000005</v>
          </cell>
        </row>
        <row r="388">
          <cell r="A388" t="str">
            <v>III.</v>
          </cell>
          <cell r="C388" t="str">
            <v>PEMAKAIAN BAHAN, ALAT DAN TENAGA</v>
          </cell>
          <cell r="L388" t="str">
            <v>B.</v>
          </cell>
          <cell r="N388" t="str">
            <v>BAHAN</v>
          </cell>
        </row>
        <row r="390">
          <cell r="A390" t="str">
            <v xml:space="preserve">   1.</v>
          </cell>
          <cell r="C390" t="str">
            <v>BAHAN</v>
          </cell>
          <cell r="L390" t="str">
            <v>1.</v>
          </cell>
          <cell r="N390" t="str">
            <v>Agregat Kelas C1 (M28)</v>
          </cell>
          <cell r="P390" t="str">
            <v>M3</v>
          </cell>
          <cell r="Q390">
            <v>1.35</v>
          </cell>
          <cell r="R390">
            <v>141787.08464737452</v>
          </cell>
          <cell r="U390">
            <v>191412.56427395562</v>
          </cell>
        </row>
        <row r="391">
          <cell r="C391" t="str">
            <v>Material Agregat Kelas C hasil produksi di Base Camp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1.35</v>
          </cell>
          <cell r="I392" t="str">
            <v>M3</v>
          </cell>
          <cell r="J392" t="str">
            <v xml:space="preserve"> 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  <cell r="Q396" t="str">
            <v xml:space="preserve">JUMLAH HARGA BAHAN   </v>
          </cell>
          <cell r="U396">
            <v>191412.56427395562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J397" t="str">
            <v>Pemuatan ringan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  <cell r="L398" t="str">
            <v>C.</v>
          </cell>
          <cell r="N398" t="str">
            <v>PERALATAN</v>
          </cell>
        </row>
        <row r="399">
          <cell r="C399" t="str">
            <v>Waktu siklus</v>
          </cell>
          <cell r="G399" t="str">
            <v>Ts1</v>
          </cell>
        </row>
        <row r="400">
          <cell r="C400" t="str">
            <v>- Muat</v>
          </cell>
          <cell r="G400" t="str">
            <v>T1</v>
          </cell>
          <cell r="H400">
            <v>0.25</v>
          </cell>
          <cell r="I400" t="str">
            <v>menit</v>
          </cell>
          <cell r="L400" t="str">
            <v>1.</v>
          </cell>
          <cell r="N400" t="str">
            <v>Wheel Loader</v>
          </cell>
          <cell r="O400" t="str">
            <v>(E15)</v>
          </cell>
          <cell r="P400" t="str">
            <v>Jam</v>
          </cell>
          <cell r="Q400">
            <v>1.0040160642570281E-2</v>
          </cell>
          <cell r="R400">
            <v>163808.13869490434</v>
          </cell>
          <cell r="U400">
            <v>1644.6600270572724</v>
          </cell>
        </row>
        <row r="401">
          <cell r="C401" t="str">
            <v>- Lain-lain</v>
          </cell>
          <cell r="G401" t="str">
            <v>T2</v>
          </cell>
          <cell r="H401">
            <v>0.25</v>
          </cell>
          <cell r="I401" t="str">
            <v>menit</v>
          </cell>
          <cell r="L401" t="str">
            <v>2.</v>
          </cell>
          <cell r="N401" t="str">
            <v>Dump Truck</v>
          </cell>
          <cell r="O401" t="str">
            <v>(E08)</v>
          </cell>
          <cell r="P401" t="str">
            <v>Jam</v>
          </cell>
          <cell r="Q401">
            <v>0.17463233959936131</v>
          </cell>
          <cell r="R401">
            <v>153645.58193291764</v>
          </cell>
          <cell r="U401">
            <v>26831.487442050766</v>
          </cell>
        </row>
        <row r="402">
          <cell r="G402" t="str">
            <v>Ts1</v>
          </cell>
          <cell r="H402">
            <v>0.5</v>
          </cell>
          <cell r="I402" t="str">
            <v>menit</v>
          </cell>
          <cell r="L402" t="str">
            <v>3.</v>
          </cell>
          <cell r="N402" t="str">
            <v>Motor Grader</v>
          </cell>
          <cell r="O402" t="str">
            <v>(E13)</v>
          </cell>
          <cell r="P402" t="str">
            <v>Jam</v>
          </cell>
          <cell r="Q402">
            <v>1.1713520749665328E-2</v>
          </cell>
          <cell r="R402">
            <v>201666.62574070093</v>
          </cell>
          <cell r="U402">
            <v>2362.2262051286921</v>
          </cell>
        </row>
        <row r="403">
          <cell r="L403" t="str">
            <v>4.</v>
          </cell>
          <cell r="N403" t="str">
            <v>Vibratory Roller</v>
          </cell>
          <cell r="O403" t="str">
            <v>(E19)</v>
          </cell>
          <cell r="P403" t="str">
            <v>Jam</v>
          </cell>
          <cell r="Q403">
            <v>2.1419009370816599E-2</v>
          </cell>
          <cell r="R403">
            <v>234734.82748629327</v>
          </cell>
          <cell r="U403">
            <v>5027.7874695859336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99.6</v>
          </cell>
          <cell r="I404" t="str">
            <v>M3</v>
          </cell>
          <cell r="L404" t="str">
            <v>5.</v>
          </cell>
          <cell r="N404" t="str">
            <v>P. Tyre Roller</v>
          </cell>
          <cell r="O404" t="str">
            <v>(E18)</v>
          </cell>
          <cell r="P404" t="str">
            <v>Jam</v>
          </cell>
          <cell r="Q404">
            <v>4.2838018741633201E-3</v>
          </cell>
          <cell r="R404">
            <v>113384.24751021285</v>
          </cell>
          <cell r="U404">
            <v>485.71565198484757</v>
          </cell>
        </row>
        <row r="405">
          <cell r="D405" t="str">
            <v>Fk x Ts1</v>
          </cell>
          <cell r="L405" t="str">
            <v>6.</v>
          </cell>
          <cell r="N405" t="str">
            <v>Water Tanker</v>
          </cell>
          <cell r="O405" t="str">
            <v>(E23)</v>
          </cell>
          <cell r="P405" t="str">
            <v>Jam</v>
          </cell>
          <cell r="Q405">
            <v>2.1084337349397592E-2</v>
          </cell>
          <cell r="R405">
            <v>67020.510980434308</v>
          </cell>
          <cell r="U405">
            <v>1413.0830628404826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1.0040160642570281E-2</v>
          </cell>
          <cell r="I406" t="str">
            <v>Jam</v>
          </cell>
          <cell r="L406" t="str">
            <v>7.</v>
          </cell>
          <cell r="N406" t="str">
            <v>Alat Bantu</v>
          </cell>
          <cell r="P406" t="str">
            <v>Ls</v>
          </cell>
          <cell r="Q406">
            <v>1</v>
          </cell>
          <cell r="R406">
            <v>40</v>
          </cell>
          <cell r="U406">
            <v>40</v>
          </cell>
        </row>
        <row r="408">
          <cell r="A408" t="str">
            <v>2.b.</v>
          </cell>
          <cell r="C408" t="str">
            <v>DUMP TRUCK</v>
          </cell>
          <cell r="G408" t="str">
            <v>(E08)</v>
          </cell>
          <cell r="Q408" t="str">
            <v xml:space="preserve">JUMLAH HARGA PERALATAN   </v>
          </cell>
          <cell r="U408">
            <v>37804.959858647991</v>
          </cell>
        </row>
        <row r="409">
          <cell r="C409" t="str">
            <v>Kapasitas bak</v>
          </cell>
          <cell r="G409" t="str">
            <v>V</v>
          </cell>
          <cell r="H409">
            <v>4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229450.59913260362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22945.059913260364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252395.65904586398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2.4096385542168672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11.633333333333333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8.7249999999999996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Dump dan lain-lain</v>
          </cell>
          <cell r="G416" t="str">
            <v>T4</v>
          </cell>
          <cell r="H416">
            <v>3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25.7679718875502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hal.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5.1 (3)</v>
          </cell>
          <cell r="J420" t="str">
            <v>Analisa EI-521</v>
          </cell>
        </row>
        <row r="421">
          <cell r="A421" t="str">
            <v>JENIS PEKERJAAN</v>
          </cell>
          <cell r="D421" t="str">
            <v>:  Lapis Pondasi Agregat Kelas C</v>
          </cell>
        </row>
        <row r="422">
          <cell r="A422" t="str">
            <v>SATUAN PEMBAYARAN</v>
          </cell>
          <cell r="D422" t="str">
            <v>:  M3</v>
          </cell>
          <cell r="H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5.7263162269610763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(E08)</v>
          </cell>
          <cell r="H430">
            <v>0.17463233959936131</v>
          </cell>
          <cell r="I430" t="str">
            <v>Jam</v>
          </cell>
        </row>
        <row r="432">
          <cell r="A432" t="str">
            <v>2.c.</v>
          </cell>
          <cell r="C432" t="str">
            <v>MOTOR GRADER</v>
          </cell>
          <cell r="G432" t="str">
            <v>(E13)</v>
          </cell>
        </row>
        <row r="433">
          <cell r="C433" t="str">
            <v>Panjang hamparan</v>
          </cell>
          <cell r="G433" t="str">
            <v>Lh</v>
          </cell>
          <cell r="H433">
            <v>50</v>
          </cell>
          <cell r="I433" t="str">
            <v>M</v>
          </cell>
        </row>
        <row r="434">
          <cell r="C434" t="str">
            <v>Lebar efektif kerja blade</v>
          </cell>
          <cell r="G434" t="str">
            <v>b</v>
          </cell>
          <cell r="H434">
            <v>2.4</v>
          </cell>
          <cell r="I434" t="str">
            <v>M</v>
          </cell>
        </row>
        <row r="435">
          <cell r="C435" t="str">
            <v>Faktor Efisiensi alat</v>
          </cell>
          <cell r="G435" t="str">
            <v>Fa</v>
          </cell>
          <cell r="H435">
            <v>0.83</v>
          </cell>
          <cell r="I435" t="str">
            <v>-</v>
          </cell>
        </row>
        <row r="436">
          <cell r="C436" t="str">
            <v>Kecepatan rata-rata alat</v>
          </cell>
          <cell r="G436" t="str">
            <v>v</v>
          </cell>
          <cell r="H436">
            <v>4</v>
          </cell>
          <cell r="I436" t="str">
            <v>KM / Jam</v>
          </cell>
        </row>
        <row r="437">
          <cell r="C437" t="str">
            <v>Jumlah lintasan</v>
          </cell>
          <cell r="G437" t="str">
            <v>n</v>
          </cell>
          <cell r="H437">
            <v>6</v>
          </cell>
          <cell r="I437" t="str">
            <v>lintasan</v>
          </cell>
          <cell r="J437" t="str">
            <v>3 x pp</v>
          </cell>
        </row>
        <row r="438">
          <cell r="C438" t="str">
            <v>Waktu Siklus</v>
          </cell>
          <cell r="G438" t="str">
            <v>Ts3</v>
          </cell>
        </row>
        <row r="439">
          <cell r="C439" t="str">
            <v>- Perataan 1 lintasan  = (Lh x 60) : (v x 1000)</v>
          </cell>
          <cell r="G439" t="str">
            <v>T1</v>
          </cell>
          <cell r="H439">
            <v>0.75</v>
          </cell>
          <cell r="I439" t="str">
            <v>menit</v>
          </cell>
        </row>
        <row r="440">
          <cell r="C440" t="str">
            <v>- Lain-lain</v>
          </cell>
          <cell r="G440" t="str">
            <v>T2</v>
          </cell>
          <cell r="H440">
            <v>1</v>
          </cell>
          <cell r="I440" t="str">
            <v>menit</v>
          </cell>
        </row>
        <row r="441">
          <cell r="G441" t="str">
            <v>Ts3</v>
          </cell>
          <cell r="H441">
            <v>1.75</v>
          </cell>
          <cell r="I441" t="str">
            <v>menit</v>
          </cell>
        </row>
        <row r="443">
          <cell r="C443" t="str">
            <v>Kap.Prod. / jam =</v>
          </cell>
          <cell r="D443" t="str">
            <v>Lh x b x t x Fa x 60</v>
          </cell>
          <cell r="G443" t="str">
            <v>Q3</v>
          </cell>
          <cell r="H443">
            <v>85.371428571428567</v>
          </cell>
          <cell r="I443" t="str">
            <v>M3</v>
          </cell>
        </row>
        <row r="444">
          <cell r="D444" t="str">
            <v>n x Ts3</v>
          </cell>
        </row>
        <row r="445">
          <cell r="C445" t="str">
            <v>Koefisien Alat / M3</v>
          </cell>
          <cell r="D445" t="str">
            <v xml:space="preserve"> = 1 : Q3</v>
          </cell>
          <cell r="G445" t="str">
            <v>(E13)</v>
          </cell>
          <cell r="H445">
            <v>1.1713520749665328E-2</v>
          </cell>
          <cell r="I445" t="str">
            <v>Jam</v>
          </cell>
        </row>
        <row r="447">
          <cell r="A447" t="str">
            <v>2.d.</v>
          </cell>
          <cell r="C447" t="str">
            <v>VIBRATORY ROLLER</v>
          </cell>
          <cell r="G447" t="str">
            <v>(E19)</v>
          </cell>
        </row>
        <row r="448">
          <cell r="C448" t="str">
            <v>Kecepatan rata-rata</v>
          </cell>
          <cell r="G448" t="str">
            <v>v</v>
          </cell>
          <cell r="H448">
            <v>2.5</v>
          </cell>
          <cell r="I448" t="str">
            <v>KM / Jam</v>
          </cell>
        </row>
        <row r="449">
          <cell r="C449" t="str">
            <v>Lebar efektif pemadatan</v>
          </cell>
          <cell r="G449" t="str">
            <v>b</v>
          </cell>
          <cell r="H449">
            <v>1.2</v>
          </cell>
          <cell r="I449" t="str">
            <v>M</v>
          </cell>
        </row>
        <row r="450">
          <cell r="C450" t="str">
            <v>Jumlah lintasan</v>
          </cell>
          <cell r="G450" t="str">
            <v>n</v>
          </cell>
          <cell r="H450">
            <v>8</v>
          </cell>
          <cell r="I450" t="str">
            <v>lintasan</v>
          </cell>
        </row>
        <row r="451">
          <cell r="C451" t="str">
            <v>Faktor Efisiensi alat</v>
          </cell>
          <cell r="G451" t="str">
            <v>Fa</v>
          </cell>
          <cell r="H451">
            <v>0.83</v>
          </cell>
          <cell r="I451" t="str">
            <v>-</v>
          </cell>
        </row>
        <row r="453">
          <cell r="C453" t="str">
            <v>Kap.Prod. / jam =</v>
          </cell>
          <cell r="D453" t="str">
            <v>(v x 1000) x b x t x Fa</v>
          </cell>
          <cell r="G453" t="str">
            <v>Q4</v>
          </cell>
          <cell r="H453">
            <v>46.6875</v>
          </cell>
          <cell r="I453" t="str">
            <v>M3</v>
          </cell>
        </row>
        <row r="454">
          <cell r="D454" t="str">
            <v>n</v>
          </cell>
        </row>
        <row r="455">
          <cell r="C455" t="str">
            <v>Koefisien Alat / M3</v>
          </cell>
          <cell r="D455" t="str">
            <v xml:space="preserve"> = 1 : Q4</v>
          </cell>
          <cell r="G455" t="str">
            <v>(E19)</v>
          </cell>
          <cell r="H455">
            <v>2.1419009370816599E-2</v>
          </cell>
          <cell r="I455" t="str">
            <v>Jam</v>
          </cell>
        </row>
        <row r="457">
          <cell r="A457" t="str">
            <v>2.e.</v>
          </cell>
          <cell r="C457" t="str">
            <v>PNEUMATIC TIRE ROLLER</v>
          </cell>
          <cell r="G457" t="str">
            <v>(E18)</v>
          </cell>
        </row>
        <row r="458">
          <cell r="C458" t="str">
            <v>Kecepatan rata-rata alat</v>
          </cell>
          <cell r="G458" t="str">
            <v>v</v>
          </cell>
          <cell r="H458">
            <v>5</v>
          </cell>
          <cell r="I458" t="str">
            <v>KM / Jam</v>
          </cell>
        </row>
        <row r="459">
          <cell r="C459" t="str">
            <v>Lebar efektif pemadatan</v>
          </cell>
          <cell r="G459" t="str">
            <v>b</v>
          </cell>
          <cell r="H459">
            <v>1.5</v>
          </cell>
          <cell r="I459" t="str">
            <v>M</v>
          </cell>
        </row>
        <row r="460">
          <cell r="C460" t="str">
            <v>Jumlah lintasan</v>
          </cell>
          <cell r="G460" t="str">
            <v>n</v>
          </cell>
          <cell r="H460">
            <v>4</v>
          </cell>
          <cell r="I460" t="str">
            <v>lintasan</v>
          </cell>
        </row>
        <row r="461">
          <cell r="C461" t="str">
            <v>Faktor Efisiensi alat</v>
          </cell>
          <cell r="G461" t="str">
            <v>Fa</v>
          </cell>
          <cell r="H461">
            <v>0.83</v>
          </cell>
          <cell r="I461" t="str">
            <v>-</v>
          </cell>
        </row>
        <row r="463">
          <cell r="C463" t="str">
            <v>Kap.Prod. / jam =</v>
          </cell>
          <cell r="D463" t="str">
            <v>(v x 1000) x b x t x Fa</v>
          </cell>
          <cell r="G463" t="str">
            <v>Q5</v>
          </cell>
          <cell r="H463">
            <v>233.4375</v>
          </cell>
          <cell r="I463" t="str">
            <v>M3</v>
          </cell>
        </row>
        <row r="464">
          <cell r="D464" t="str">
            <v>n</v>
          </cell>
        </row>
        <row r="465">
          <cell r="C465" t="str">
            <v>Koefisien Alat / M3</v>
          </cell>
          <cell r="D465" t="str">
            <v xml:space="preserve"> = 1 : Q5</v>
          </cell>
          <cell r="G465" t="str">
            <v>(E18)</v>
          </cell>
          <cell r="H465">
            <v>4.2838018741633201E-3</v>
          </cell>
          <cell r="I465" t="str">
            <v>Jam</v>
          </cell>
        </row>
        <row r="467">
          <cell r="A467" t="str">
            <v>2.f.</v>
          </cell>
          <cell r="C467" t="str">
            <v>WATERTANK TRUCK</v>
          </cell>
          <cell r="G467" t="str">
            <v>(E23)</v>
          </cell>
        </row>
        <row r="468">
          <cell r="C468" t="str">
            <v>Volume tangki air</v>
          </cell>
          <cell r="G468" t="str">
            <v>V</v>
          </cell>
          <cell r="H468">
            <v>4</v>
          </cell>
          <cell r="I468" t="str">
            <v>M3</v>
          </cell>
        </row>
        <row r="469">
          <cell r="C469" t="str">
            <v>Kebutuhan air / M3 agregat padat</v>
          </cell>
          <cell r="G469" t="str">
            <v>Wc</v>
          </cell>
          <cell r="H469">
            <v>7.0000000000000007E-2</v>
          </cell>
          <cell r="I469" t="str">
            <v>M3</v>
          </cell>
        </row>
        <row r="470">
          <cell r="C470" t="str">
            <v>Pengisian tangki / jam</v>
          </cell>
          <cell r="G470" t="str">
            <v>n</v>
          </cell>
          <cell r="H470">
            <v>1</v>
          </cell>
          <cell r="I470" t="str">
            <v>kali</v>
          </cell>
        </row>
        <row r="471">
          <cell r="C471" t="str">
            <v>Faktor Efisiensi alat</v>
          </cell>
          <cell r="G471" t="str">
            <v>Fa</v>
          </cell>
          <cell r="H471">
            <v>0.83</v>
          </cell>
          <cell r="I471" t="str">
            <v>-</v>
          </cell>
        </row>
        <row r="473">
          <cell r="C473" t="str">
            <v>Kap.Prod. / jam =</v>
          </cell>
          <cell r="D473" t="str">
            <v>V x n x Fa</v>
          </cell>
          <cell r="G473" t="str">
            <v>Q6</v>
          </cell>
          <cell r="H473">
            <v>47.428571428571423</v>
          </cell>
          <cell r="I473" t="str">
            <v>M3</v>
          </cell>
        </row>
        <row r="474">
          <cell r="D474" t="str">
            <v>Wc</v>
          </cell>
        </row>
        <row r="475">
          <cell r="C475" t="str">
            <v>Koefisien Alat / M3</v>
          </cell>
          <cell r="D475" t="str">
            <v xml:space="preserve"> = 1 : Q6</v>
          </cell>
          <cell r="G475" t="str">
            <v>(E23)</v>
          </cell>
          <cell r="H475">
            <v>2.1084337349397592E-2</v>
          </cell>
          <cell r="I475" t="str">
            <v>Jam</v>
          </cell>
        </row>
        <row r="478">
          <cell r="J478" t="str">
            <v>Berlanjut ke hal. berikut</v>
          </cell>
        </row>
        <row r="479">
          <cell r="A479" t="str">
            <v>ITEM PEMBAYARAN NO.</v>
          </cell>
          <cell r="D479" t="str">
            <v>:  5.1 (3)</v>
          </cell>
          <cell r="J479" t="str">
            <v>Analisa EI-521</v>
          </cell>
        </row>
        <row r="480">
          <cell r="A480" t="str">
            <v>JENIS PEKERJAAN</v>
          </cell>
          <cell r="D480" t="str">
            <v>:  Lapis Pondasi Agregat Kelas C</v>
          </cell>
        </row>
        <row r="481">
          <cell r="A481" t="str">
            <v>SATUAN PEMBAYARAN</v>
          </cell>
          <cell r="D481" t="str">
            <v>:  M3</v>
          </cell>
          <cell r="H481" t="str">
            <v xml:space="preserve">         URAIAN ANALISA HARGA SATUAN</v>
          </cell>
        </row>
        <row r="482"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2.g.</v>
          </cell>
          <cell r="C487" t="str">
            <v>ALAT BANTU</v>
          </cell>
        </row>
        <row r="488">
          <cell r="C488" t="str">
            <v>diperlukan :</v>
          </cell>
          <cell r="J488" t="str">
            <v>Lump Sum</v>
          </cell>
        </row>
        <row r="489">
          <cell r="C489" t="str">
            <v>- Kereta dorong     = 2 buah</v>
          </cell>
        </row>
        <row r="490">
          <cell r="C490" t="str">
            <v>- Sekop                = 3 buah</v>
          </cell>
        </row>
        <row r="491">
          <cell r="C491" t="str">
            <v>- Garpu                 = 2 buah</v>
          </cell>
        </row>
        <row r="493">
          <cell r="A493" t="str">
            <v xml:space="preserve">   3.</v>
          </cell>
          <cell r="C493" t="str">
            <v>TENAGA</v>
          </cell>
        </row>
        <row r="494">
          <cell r="C494" t="str">
            <v>Produksi menentukan : WHEEL LOADER</v>
          </cell>
          <cell r="G494" t="str">
            <v>Q1</v>
          </cell>
          <cell r="H494">
            <v>99.6</v>
          </cell>
          <cell r="I494" t="str">
            <v>M3 / Jam</v>
          </cell>
        </row>
        <row r="495">
          <cell r="C495" t="str">
            <v>Produksi Agregat / hari  =  Tk x Q1</v>
          </cell>
          <cell r="G495" t="str">
            <v>Qt</v>
          </cell>
          <cell r="H495">
            <v>697.19999999999993</v>
          </cell>
          <cell r="I495" t="str">
            <v>M3</v>
          </cell>
        </row>
        <row r="496">
          <cell r="C496" t="str">
            <v>Kebutuhan tenaga :</v>
          </cell>
        </row>
        <row r="497">
          <cell r="D497" t="str">
            <v>- Pekerja</v>
          </cell>
          <cell r="G497" t="str">
            <v>P</v>
          </cell>
          <cell r="H497">
            <v>7</v>
          </cell>
          <cell r="I497" t="str">
            <v>orang</v>
          </cell>
        </row>
        <row r="498">
          <cell r="D498" t="str">
            <v>- Mandor</v>
          </cell>
          <cell r="G498" t="str">
            <v>M</v>
          </cell>
          <cell r="H498">
            <v>1</v>
          </cell>
          <cell r="I498" t="str">
            <v>orang</v>
          </cell>
        </row>
        <row r="500">
          <cell r="C500" t="str">
            <v>Koefisien tenaga / M3     :</v>
          </cell>
        </row>
        <row r="501">
          <cell r="D501" t="str">
            <v>- Pekerja</v>
          </cell>
          <cell r="E501" t="str">
            <v>= (Tk x P) : Qt</v>
          </cell>
          <cell r="G501" t="str">
            <v>(L01)</v>
          </cell>
          <cell r="H501">
            <v>7.0281124497991981E-2</v>
          </cell>
          <cell r="I501" t="str">
            <v>Jam</v>
          </cell>
        </row>
        <row r="502">
          <cell r="D502" t="str">
            <v>- Mandor</v>
          </cell>
          <cell r="E502" t="str">
            <v>= (Tk x M) : Qt</v>
          </cell>
          <cell r="G502" t="str">
            <v>(L03)</v>
          </cell>
          <cell r="H502">
            <v>1.0040160642570283E-2</v>
          </cell>
          <cell r="I502" t="str">
            <v>Jam</v>
          </cell>
        </row>
        <row r="504">
          <cell r="A504" t="str">
            <v>4.</v>
          </cell>
          <cell r="C504" t="str">
            <v>HARGA DASAR SATUAN UPAH, BAHAN DAN ALAT</v>
          </cell>
        </row>
        <row r="505">
          <cell r="C505" t="str">
            <v>Lihat lampiran.</v>
          </cell>
        </row>
        <row r="507">
          <cell r="A507" t="str">
            <v>5.</v>
          </cell>
          <cell r="C507" t="str">
            <v>ANALISA HARGA SATUAN PEKERJAAN</v>
          </cell>
        </row>
        <row r="508">
          <cell r="C508" t="str">
            <v>Lihat perhitungan dalam FORMULIR STANDAR UNTUK</v>
          </cell>
        </row>
        <row r="509">
          <cell r="C509" t="str">
            <v>PEREKEMAN ANALISA MASING-MASING HARGA</v>
          </cell>
        </row>
        <row r="510">
          <cell r="C510" t="str">
            <v>SATUAN.</v>
          </cell>
        </row>
        <row r="511">
          <cell r="C511" t="str">
            <v>Didapat Harga Satuan Pekerjaan :</v>
          </cell>
        </row>
        <row r="513">
          <cell r="C513" t="str">
            <v xml:space="preserve">Rp.  </v>
          </cell>
          <cell r="D513">
            <v>252395.65904586398</v>
          </cell>
          <cell r="E513" t="str">
            <v xml:space="preserve"> / M3.</v>
          </cell>
        </row>
        <row r="516">
          <cell r="A516" t="str">
            <v>6.</v>
          </cell>
          <cell r="C516" t="str">
            <v>WAKTU PELAKSANAAN YANG DIPERLUKAN</v>
          </cell>
        </row>
        <row r="517">
          <cell r="C517" t="str">
            <v>Masa Pelaksanaan :</v>
          </cell>
          <cell r="D517" t="str">
            <v>. . . . . . . . . . . .</v>
          </cell>
          <cell r="E517" t="str">
            <v>bulan</v>
          </cell>
        </row>
        <row r="519">
          <cell r="A519" t="str">
            <v>7.</v>
          </cell>
          <cell r="C519" t="str">
            <v>VOLUME PEKERJAAN YANG DIPERLUKAN</v>
          </cell>
        </row>
        <row r="520">
          <cell r="C520" t="str">
            <v>Volume pekerjaan  :</v>
          </cell>
          <cell r="D520">
            <v>1</v>
          </cell>
          <cell r="E520" t="str">
            <v>M3</v>
          </cell>
        </row>
        <row r="3096">
          <cell r="A3096" t="str">
            <v>ITEM PEMBAYARAN NO.</v>
          </cell>
          <cell r="D3096" t="str">
            <v>: 5.5.(2)</v>
          </cell>
          <cell r="J3096" t="str">
            <v>Analisa EI-718</v>
          </cell>
          <cell r="T3096" t="str">
            <v>Analisa EI-718</v>
          </cell>
        </row>
        <row r="3097">
          <cell r="A3097" t="str">
            <v>JENIS PEKERJAAN</v>
          </cell>
          <cell r="D3097" t="str">
            <v>: Pekerjaan LFAS Kelas B</v>
          </cell>
        </row>
        <row r="3098">
          <cell r="A3098" t="str">
            <v>SATUAN PEMBAYARAN</v>
          </cell>
          <cell r="D3098" t="str">
            <v>:  M3</v>
          </cell>
          <cell r="H3098" t="str">
            <v xml:space="preserve">        URAIAN ANALISA HARGA SATUAN</v>
          </cell>
          <cell r="L3098" t="str">
            <v>FORMULIR STANDAR UNTUK</v>
          </cell>
        </row>
        <row r="3099">
          <cell r="L3099" t="str">
            <v>PEREKAMAN ANALISA MASING-MASING HARGA SATUAN</v>
          </cell>
        </row>
        <row r="3100">
          <cell r="L3100" t="str">
            <v xml:space="preserve">                                                                                                            </v>
          </cell>
        </row>
        <row r="3101">
          <cell r="A3101" t="str">
            <v>No.</v>
          </cell>
          <cell r="C3101" t="str">
            <v>U R A I A N</v>
          </cell>
          <cell r="G3101" t="str">
            <v>KODE</v>
          </cell>
          <cell r="H3101" t="str">
            <v>KOEF.</v>
          </cell>
          <cell r="I3101" t="str">
            <v>SATUAN</v>
          </cell>
          <cell r="J3101" t="str">
            <v>KETERANGAN</v>
          </cell>
        </row>
        <row r="3103">
          <cell r="L3103" t="str">
            <v>PROYEK</v>
          </cell>
          <cell r="O3103" t="str">
            <v>:</v>
          </cell>
        </row>
        <row r="3104">
          <cell r="A3104" t="str">
            <v>I.</v>
          </cell>
          <cell r="C3104" t="str">
            <v>ASUMSI</v>
          </cell>
          <cell r="L3104" t="str">
            <v>No. PAKET KONTRAK</v>
          </cell>
          <cell r="O3104" t="str">
            <v>:</v>
          </cell>
        </row>
        <row r="3105">
          <cell r="A3105">
            <v>1</v>
          </cell>
          <cell r="C3105" t="str">
            <v>Menggunakan alat (cara mekanik)</v>
          </cell>
          <cell r="L3105" t="str">
            <v>NAMA PAKET</v>
          </cell>
          <cell r="O3105" t="str">
            <v>:</v>
          </cell>
        </row>
        <row r="3106">
          <cell r="A3106">
            <v>2</v>
          </cell>
          <cell r="C3106" t="str">
            <v>Lokasi pekerjaan : sepanjang jalan</v>
          </cell>
          <cell r="L3106" t="str">
            <v>PROP / KAB / KODYA</v>
          </cell>
          <cell r="O3106" t="str">
            <v>:</v>
          </cell>
        </row>
        <row r="3107">
          <cell r="A3107">
            <v>3</v>
          </cell>
          <cell r="C3107" t="str">
            <v>Agregat merupakan bahan Lapis Pondasi Agregat</v>
          </cell>
          <cell r="L3107" t="str">
            <v>ITEM PEMBAYARAN NO.</v>
          </cell>
          <cell r="O3107" t="str">
            <v>: 5.5.(2)</v>
          </cell>
          <cell r="R3107" t="str">
            <v>PERKIRAAN VOL. PEK.</v>
          </cell>
          <cell r="T3107" t="str">
            <v>:</v>
          </cell>
          <cell r="U3107">
            <v>1</v>
          </cell>
        </row>
        <row r="3108">
          <cell r="C3108" t="str">
            <v>Kelas B yang telah dicampur di base camp dan</v>
          </cell>
          <cell r="L3108" t="str">
            <v>JENIS PEKERJAAN</v>
          </cell>
          <cell r="O3108" t="str">
            <v>: Pekerjaan LFAS Kelas B</v>
          </cell>
          <cell r="R3108" t="str">
            <v>TOTAL HARGA (Rp.)</v>
          </cell>
          <cell r="T3108" t="str">
            <v>:</v>
          </cell>
          <cell r="U3108">
            <v>31522.779454667012</v>
          </cell>
        </row>
        <row r="3109">
          <cell r="C3109" t="str">
            <v>selanjutnya dimuat ke truck dengan wheel loader</v>
          </cell>
        </row>
        <row r="3110">
          <cell r="A3110">
            <v>4</v>
          </cell>
          <cell r="C3110" t="str">
            <v>Jarak rata-rata Base camp ke lokasi pekerjaan</v>
          </cell>
          <cell r="G3110" t="str">
            <v>L</v>
          </cell>
          <cell r="H3110">
            <v>8.7249999999999996</v>
          </cell>
          <cell r="I3110" t="str">
            <v>KM</v>
          </cell>
          <cell r="L3110" t="str">
            <v>SATUAN PEMBAYARAN</v>
          </cell>
          <cell r="O3110" t="str">
            <v>:  M3</v>
          </cell>
          <cell r="R3110" t="str">
            <v>% THD. BIAYA PROYEK</v>
          </cell>
          <cell r="T3110" t="str">
            <v>:</v>
          </cell>
          <cell r="U3110" t="e">
            <v>#DIV/0!</v>
          </cell>
        </row>
        <row r="3111">
          <cell r="A3111">
            <v>5</v>
          </cell>
          <cell r="C3111" t="str">
            <v>Jam kerja efektif per-hari</v>
          </cell>
          <cell r="G3111" t="str">
            <v>Tk</v>
          </cell>
          <cell r="H3111">
            <v>7</v>
          </cell>
          <cell r="I3111" t="str">
            <v>jam</v>
          </cell>
        </row>
        <row r="3112">
          <cell r="A3112">
            <v>6</v>
          </cell>
          <cell r="C3112" t="str">
            <v>Kadar Semen Minimum (Spesifikasi)</v>
          </cell>
          <cell r="G3112" t="str">
            <v>Ks</v>
          </cell>
          <cell r="H3112">
            <v>250</v>
          </cell>
          <cell r="I3112" t="str">
            <v>Kg/M3</v>
          </cell>
        </row>
        <row r="3113">
          <cell r="A3113">
            <v>7</v>
          </cell>
          <cell r="C3113" t="str">
            <v>Perbandingan Air/Semen Maksimum (Spesifikasi)</v>
          </cell>
          <cell r="G3113" t="str">
            <v>Wcr</v>
          </cell>
          <cell r="H3113">
            <v>0.6</v>
          </cell>
          <cell r="I3113" t="str">
            <v>-</v>
          </cell>
          <cell r="L3113" t="str">
            <v>NO.</v>
          </cell>
          <cell r="N3113" t="str">
            <v>KOMPONEN</v>
          </cell>
          <cell r="P3113" t="str">
            <v>SATUAN</v>
          </cell>
          <cell r="Q3113" t="str">
            <v>KUANTITAS</v>
          </cell>
          <cell r="R3113" t="str">
            <v>SATUAN</v>
          </cell>
          <cell r="S3113" t="str">
            <v>HARGA</v>
          </cell>
        </row>
        <row r="3114">
          <cell r="A3114">
            <v>8</v>
          </cell>
          <cell r="C3114" t="str">
            <v>Perbandingan Camp.</v>
          </cell>
          <cell r="D3114">
            <v>4</v>
          </cell>
          <cell r="E3114" t="str">
            <v>:  Semen</v>
          </cell>
          <cell r="G3114" t="str">
            <v>Sm</v>
          </cell>
          <cell r="H3114">
            <v>4</v>
          </cell>
          <cell r="I3114" t="str">
            <v>%</v>
          </cell>
          <cell r="J3114" t="str">
            <v xml:space="preserve"> Berdasarkan</v>
          </cell>
          <cell r="R3114" t="str">
            <v>(Rp.)</v>
          </cell>
          <cell r="S3114" t="str">
            <v>(Rp.)</v>
          </cell>
        </row>
        <row r="3115">
          <cell r="D3115">
            <v>20</v>
          </cell>
          <cell r="E3115" t="str">
            <v>:  Agregat Halus</v>
          </cell>
          <cell r="G3115" t="str">
            <v>Fa</v>
          </cell>
          <cell r="H3115">
            <v>19.2</v>
          </cell>
          <cell r="I3115" t="str">
            <v>%</v>
          </cell>
          <cell r="J3115" t="str">
            <v xml:space="preserve"> JMF &amp; sesuai</v>
          </cell>
        </row>
        <row r="3116">
          <cell r="D3116">
            <v>35</v>
          </cell>
          <cell r="E3116" t="str">
            <v>:  Agregat Kasar</v>
          </cell>
          <cell r="G3116" t="str">
            <v>Ca</v>
          </cell>
          <cell r="H3116">
            <v>33.6</v>
          </cell>
          <cell r="I3116" t="str">
            <v>%</v>
          </cell>
          <cell r="J3116" t="str">
            <v xml:space="preserve"> dgn Spesifikasi</v>
          </cell>
        </row>
        <row r="3117">
          <cell r="D3117">
            <v>45</v>
          </cell>
          <cell r="E3117" t="str">
            <v>: Sirtu</v>
          </cell>
          <cell r="G3117" t="str">
            <v>Sr</v>
          </cell>
          <cell r="H3117">
            <v>43.2</v>
          </cell>
          <cell r="I3117" t="str">
            <v>%</v>
          </cell>
        </row>
        <row r="3118">
          <cell r="A3118">
            <v>9</v>
          </cell>
          <cell r="C3118" t="str">
            <v>Berat Jenis Material :</v>
          </cell>
          <cell r="L3118" t="str">
            <v>A.</v>
          </cell>
          <cell r="N3118" t="str">
            <v>TENAGA</v>
          </cell>
        </row>
        <row r="3119">
          <cell r="C3119" t="str">
            <v>-  Beton</v>
          </cell>
          <cell r="G3119" t="str">
            <v>D1</v>
          </cell>
          <cell r="H3119">
            <v>2.25</v>
          </cell>
          <cell r="I3119" t="str">
            <v>T/M3</v>
          </cell>
        </row>
        <row r="3120">
          <cell r="C3120" t="str">
            <v>-  Semen</v>
          </cell>
          <cell r="G3120" t="str">
            <v>D2</v>
          </cell>
          <cell r="H3120">
            <v>3</v>
          </cell>
          <cell r="I3120" t="str">
            <v>T/M3</v>
          </cell>
          <cell r="L3120" t="str">
            <v>1.</v>
          </cell>
          <cell r="N3120" t="str">
            <v>Pekerja</v>
          </cell>
          <cell r="O3120" t="str">
            <v>(L01)</v>
          </cell>
          <cell r="P3120" t="str">
            <v>jam</v>
          </cell>
          <cell r="Q3120">
            <v>5.3012048192771086</v>
          </cell>
          <cell r="R3120">
            <v>2857.14</v>
          </cell>
          <cell r="U3120">
            <v>15146.284337349398</v>
          </cell>
        </row>
        <row r="3121">
          <cell r="C3121" t="str">
            <v>-  Agregat Halus</v>
          </cell>
          <cell r="G3121" t="str">
            <v>D3</v>
          </cell>
          <cell r="H3121">
            <v>2.1</v>
          </cell>
          <cell r="I3121" t="str">
            <v>T/M3</v>
          </cell>
          <cell r="L3121" t="str">
            <v>2.</v>
          </cell>
          <cell r="N3121" t="str">
            <v>Tukang</v>
          </cell>
          <cell r="O3121" t="str">
            <v>(L02)</v>
          </cell>
          <cell r="P3121" t="str">
            <v>jam</v>
          </cell>
          <cell r="Q3121">
            <v>1.7670682730923695</v>
          </cell>
          <cell r="R3121">
            <v>4285.71</v>
          </cell>
          <cell r="U3121">
            <v>7573.142168674699</v>
          </cell>
        </row>
        <row r="3122">
          <cell r="C3122" t="str">
            <v>-  Agregat Kasar</v>
          </cell>
          <cell r="G3122" t="str">
            <v>D4</v>
          </cell>
          <cell r="H3122">
            <v>2.1</v>
          </cell>
          <cell r="I3122" t="str">
            <v>T/M3</v>
          </cell>
          <cell r="L3122" t="str">
            <v>3.</v>
          </cell>
          <cell r="N3122" t="str">
            <v>Mandor</v>
          </cell>
          <cell r="O3122" t="str">
            <v>(L03)</v>
          </cell>
          <cell r="P3122" t="str">
            <v>jam</v>
          </cell>
          <cell r="Q3122">
            <v>0.44176706827309237</v>
          </cell>
          <cell r="R3122">
            <v>3214.29</v>
          </cell>
          <cell r="U3122">
            <v>1419.9674698795181</v>
          </cell>
        </row>
        <row r="3123">
          <cell r="C3123" t="str">
            <v>-  Sirtu</v>
          </cell>
          <cell r="G3123" t="str">
            <v>D5</v>
          </cell>
          <cell r="H3123">
            <v>1.8</v>
          </cell>
          <cell r="I3123" t="str">
            <v>T/M3</v>
          </cell>
        </row>
        <row r="3125">
          <cell r="A3125" t="str">
            <v>II.</v>
          </cell>
          <cell r="C3125" t="str">
            <v>URUTAN KERJA</v>
          </cell>
          <cell r="Q3125" t="str">
            <v xml:space="preserve">JUMLAH HARGA TENAGA   </v>
          </cell>
          <cell r="U3125">
            <v>24139.393975903615</v>
          </cell>
        </row>
        <row r="3126">
          <cell r="A3126">
            <v>1</v>
          </cell>
          <cell r="C3126" t="str">
            <v>Semen, pasir, batu kerikil dan air dicampur dan diaduk</v>
          </cell>
        </row>
        <row r="3127">
          <cell r="C3127" t="str">
            <v>menjadi beton dengan menggunakan Concrete Mixer</v>
          </cell>
          <cell r="L3127" t="str">
            <v>B.</v>
          </cell>
          <cell r="N3127" t="str">
            <v>BAHAN</v>
          </cell>
        </row>
        <row r="3128">
          <cell r="A3128">
            <v>2</v>
          </cell>
          <cell r="C3128" t="str">
            <v>Beton di-cor ke dalam bekisting yang telah disiapkan</v>
          </cell>
        </row>
        <row r="3129">
          <cell r="A3129">
            <v>3</v>
          </cell>
          <cell r="C3129" t="str">
            <v>Penyelesaian dan perapihan setelah pemasangan</v>
          </cell>
          <cell r="L3129" t="str">
            <v>1.</v>
          </cell>
          <cell r="N3129" t="str">
            <v>Semen</v>
          </cell>
          <cell r="O3129" t="str">
            <v>(M12)</v>
          </cell>
          <cell r="P3129" t="str">
            <v>Kg</v>
          </cell>
          <cell r="Q3129">
            <v>92.249999999999986</v>
          </cell>
          <cell r="R3129">
            <v>688.65625</v>
          </cell>
          <cell r="U3129">
            <v>63528.539062499993</v>
          </cell>
        </row>
        <row r="3130">
          <cell r="L3130" t="str">
            <v>2.</v>
          </cell>
          <cell r="N3130" t="str">
            <v>Pasir</v>
          </cell>
          <cell r="O3130" t="str">
            <v>(M01)</v>
          </cell>
          <cell r="P3130" t="str">
            <v>M3</v>
          </cell>
          <cell r="Q3130">
            <v>0.21085714285714283</v>
          </cell>
          <cell r="R3130">
            <v>54300</v>
          </cell>
          <cell r="U3130">
            <v>11449.542857142855</v>
          </cell>
        </row>
        <row r="3131">
          <cell r="A3131" t="str">
            <v>III.</v>
          </cell>
          <cell r="C3131" t="str">
            <v>PEMAKAIAN BAHAN, ALAT DAN TENAGA</v>
          </cell>
          <cell r="L3131" t="str">
            <v>3.</v>
          </cell>
          <cell r="N3131" t="str">
            <v>Agregat Kasar</v>
          </cell>
          <cell r="O3131" t="str">
            <v>(M03)</v>
          </cell>
          <cell r="P3131" t="str">
            <v>M3</v>
          </cell>
          <cell r="Q3131">
            <v>0.36899999999999994</v>
          </cell>
          <cell r="R3131">
            <v>222345.54558042376</v>
          </cell>
          <cell r="U3131">
            <v>82045.506319176347</v>
          </cell>
        </row>
        <row r="3132">
          <cell r="L3132" t="str">
            <v>5.</v>
          </cell>
          <cell r="N3132" t="str">
            <v>Kayu Perancah</v>
          </cell>
          <cell r="O3132" t="str">
            <v>(M19)</v>
          </cell>
          <cell r="P3132" t="str">
            <v>M3</v>
          </cell>
          <cell r="Q3132">
            <v>0.05</v>
          </cell>
          <cell r="R3132">
            <v>1466250</v>
          </cell>
          <cell r="U3132">
            <v>73312.5</v>
          </cell>
        </row>
        <row r="3133">
          <cell r="A3133" t="str">
            <v xml:space="preserve">   1.</v>
          </cell>
          <cell r="C3133" t="str">
            <v>BAHAN</v>
          </cell>
          <cell r="L3133" t="str">
            <v>6.</v>
          </cell>
          <cell r="N3133" t="str">
            <v>Paku</v>
          </cell>
          <cell r="O3133" t="str">
            <v>(M18)</v>
          </cell>
          <cell r="P3133" t="str">
            <v>Kg</v>
          </cell>
          <cell r="Q3133">
            <v>0.4</v>
          </cell>
          <cell r="R3133">
            <v>5500</v>
          </cell>
          <cell r="U3133">
            <v>2200</v>
          </cell>
        </row>
        <row r="3134">
          <cell r="A3134" t="str">
            <v>1.a.</v>
          </cell>
          <cell r="C3134" t="str">
            <v>Semen (PC)          =</v>
          </cell>
          <cell r="D3134" t="str">
            <v xml:space="preserve">   {Sm x D1 x 1000} x 1.025</v>
          </cell>
          <cell r="G3134" t="str">
            <v>(M12)</v>
          </cell>
          <cell r="H3134">
            <v>92.249999999999986</v>
          </cell>
          <cell r="I3134" t="str">
            <v>Kg</v>
          </cell>
        </row>
        <row r="3135">
          <cell r="A3135" t="str">
            <v>1.b.</v>
          </cell>
          <cell r="C3135" t="str">
            <v>Agregat Halus</v>
          </cell>
          <cell r="D3135" t="str">
            <v xml:space="preserve">   {(Ps x D1) : D3} x 1.025</v>
          </cell>
          <cell r="G3135" t="str">
            <v>(M01)</v>
          </cell>
          <cell r="H3135">
            <v>0.21085714285714283</v>
          </cell>
          <cell r="I3135" t="str">
            <v>M3</v>
          </cell>
          <cell r="Q3135" t="str">
            <v xml:space="preserve">JUMLAH HARGA BAHAN   </v>
          </cell>
          <cell r="U3135">
            <v>232536.08823881921</v>
          </cell>
        </row>
        <row r="3136">
          <cell r="A3136" t="str">
            <v>1.c.</v>
          </cell>
          <cell r="C3136" t="str">
            <v>Agregat Kasar</v>
          </cell>
          <cell r="D3136" t="str">
            <v xml:space="preserve">   {(Kr x D1) : D4} x 1.025</v>
          </cell>
          <cell r="G3136" t="str">
            <v>(M03)</v>
          </cell>
          <cell r="H3136">
            <v>0.36899999999999994</v>
          </cell>
          <cell r="I3136" t="str">
            <v>M3</v>
          </cell>
          <cell r="J3136" t="str">
            <v xml:space="preserve"> Agregat Kasar</v>
          </cell>
        </row>
        <row r="3137">
          <cell r="C3137" t="str">
            <v>Sirtu</v>
          </cell>
          <cell r="H3137">
            <v>0.55349999999999999</v>
          </cell>
          <cell r="I3137" t="str">
            <v>M3</v>
          </cell>
        </row>
        <row r="3138">
          <cell r="A3138" t="str">
            <v>1.e.</v>
          </cell>
          <cell r="C3138" t="str">
            <v>Bekisting</v>
          </cell>
          <cell r="G3138" t="str">
            <v>(M19)</v>
          </cell>
          <cell r="H3138">
            <v>0.05</v>
          </cell>
          <cell r="I3138" t="str">
            <v>M3</v>
          </cell>
        </row>
        <row r="3139">
          <cell r="A3139" t="str">
            <v>1.f</v>
          </cell>
          <cell r="C3139" t="str">
            <v>Paku</v>
          </cell>
          <cell r="G3139" t="str">
            <v>(M18)</v>
          </cell>
          <cell r="H3139">
            <v>0.4</v>
          </cell>
          <cell r="I3139" t="str">
            <v>Kg</v>
          </cell>
        </row>
        <row r="3141">
          <cell r="A3141" t="str">
            <v>2.</v>
          </cell>
          <cell r="C3141" t="str">
            <v>ALAT</v>
          </cell>
        </row>
        <row r="3142">
          <cell r="A3142" t="str">
            <v>2.a.</v>
          </cell>
          <cell r="C3142" t="str">
            <v>CONCRETE MIXER</v>
          </cell>
          <cell r="G3142" t="str">
            <v>(E06)</v>
          </cell>
        </row>
        <row r="3143">
          <cell r="C3143" t="str">
            <v>Kapasitas Alat</v>
          </cell>
          <cell r="G3143" t="str">
            <v>V</v>
          </cell>
          <cell r="H3143">
            <v>500</v>
          </cell>
          <cell r="I3143" t="str">
            <v>liter</v>
          </cell>
        </row>
        <row r="3144">
          <cell r="C3144" t="str">
            <v>Faktor Efisiensi Alat</v>
          </cell>
          <cell r="G3144" t="str">
            <v>Fa</v>
          </cell>
          <cell r="H3144">
            <v>0.83</v>
          </cell>
          <cell r="I3144" t="str">
            <v>-</v>
          </cell>
        </row>
        <row r="3145">
          <cell r="C3145" t="str">
            <v>Waktu siklus   :</v>
          </cell>
          <cell r="D3145" t="str">
            <v>(T1 + T2 + T3 + T4)</v>
          </cell>
          <cell r="G3145" t="str">
            <v>Ts</v>
          </cell>
        </row>
        <row r="3146">
          <cell r="C3146" t="str">
            <v>-  Memuat</v>
          </cell>
          <cell r="G3146" t="str">
            <v>T1</v>
          </cell>
          <cell r="H3146">
            <v>3</v>
          </cell>
          <cell r="I3146" t="str">
            <v>menit</v>
          </cell>
        </row>
        <row r="3147">
          <cell r="C3147" t="str">
            <v>-  Mengaduk</v>
          </cell>
          <cell r="G3147" t="str">
            <v>T2</v>
          </cell>
          <cell r="H3147">
            <v>2</v>
          </cell>
          <cell r="I3147" t="str">
            <v>menit</v>
          </cell>
        </row>
        <row r="3148">
          <cell r="C3148" t="str">
            <v>-  Menuang</v>
          </cell>
          <cell r="G3148" t="str">
            <v>T3</v>
          </cell>
          <cell r="H3148">
            <v>3</v>
          </cell>
          <cell r="I3148" t="str">
            <v>menit</v>
          </cell>
        </row>
        <row r="3149">
          <cell r="C3149" t="str">
            <v>-  Tunggu, dll.</v>
          </cell>
          <cell r="G3149" t="str">
            <v>T4</v>
          </cell>
          <cell r="H3149">
            <v>3</v>
          </cell>
          <cell r="I3149" t="str">
            <v>menit</v>
          </cell>
        </row>
        <row r="3150">
          <cell r="G3150" t="str">
            <v>Ts</v>
          </cell>
          <cell r="H3150">
            <v>11</v>
          </cell>
          <cell r="I3150" t="str">
            <v>menit</v>
          </cell>
        </row>
        <row r="3152">
          <cell r="C3152" t="str">
            <v>Kap. Prod. / jam  =</v>
          </cell>
          <cell r="D3152" t="str">
            <v>V x Fa x 60</v>
          </cell>
          <cell r="G3152" t="str">
            <v>Q1</v>
          </cell>
          <cell r="H3152">
            <v>2.2636363636363637</v>
          </cell>
          <cell r="I3152" t="str">
            <v>M3</v>
          </cell>
        </row>
        <row r="3153">
          <cell r="D3153" t="str">
            <v>1000 x Ts</v>
          </cell>
        </row>
        <row r="3155">
          <cell r="C3155" t="str">
            <v>Koefisien Alat / M3</v>
          </cell>
          <cell r="D3155" t="str">
            <v xml:space="preserve">  =   1  :  Q1</v>
          </cell>
          <cell r="G3155" t="str">
            <v>(E06)</v>
          </cell>
          <cell r="H3155">
            <v>0.44176706827309237</v>
          </cell>
          <cell r="I3155" t="str">
            <v>jam</v>
          </cell>
        </row>
        <row r="3159">
          <cell r="J3159" t="str">
            <v>Berlanjut ke hal. berikut.</v>
          </cell>
        </row>
        <row r="3160">
          <cell r="A3160" t="str">
            <v>ITEM PEMBAYARAN NO.</v>
          </cell>
          <cell r="D3160" t="str">
            <v>: 5.5.(2)</v>
          </cell>
          <cell r="J3160" t="str">
            <v>Analisa EI-718</v>
          </cell>
        </row>
        <row r="3161">
          <cell r="A3161" t="str">
            <v>JENIS PEKERJAAN</v>
          </cell>
          <cell r="D3161" t="str">
            <v>: Pekerjaan LFAS Kelas B</v>
          </cell>
        </row>
        <row r="3162">
          <cell r="A3162" t="str">
            <v>SATUAN PEMBAYARAN</v>
          </cell>
          <cell r="D3162" t="str">
            <v>:  M3</v>
          </cell>
          <cell r="H3162" t="str">
            <v xml:space="preserve">        URAIAN ANALISA HARGA SATUAN</v>
          </cell>
        </row>
        <row r="3163">
          <cell r="J3163" t="str">
            <v>Lanjutan</v>
          </cell>
        </row>
        <row r="3165">
          <cell r="A3165" t="str">
            <v>No.</v>
          </cell>
          <cell r="C3165" t="str">
            <v>U R A I A N</v>
          </cell>
          <cell r="G3165" t="str">
            <v>KODE</v>
          </cell>
          <cell r="H3165" t="str">
            <v>KOEF.</v>
          </cell>
          <cell r="I3165" t="str">
            <v>SATUAN</v>
          </cell>
          <cell r="J3165" t="str">
            <v>KETERANGAN</v>
          </cell>
        </row>
        <row r="3168">
          <cell r="A3168" t="str">
            <v>2.b.</v>
          </cell>
          <cell r="C3168" t="str">
            <v>WATER TANK TRUCK</v>
          </cell>
          <cell r="G3168" t="str">
            <v>(E23)</v>
          </cell>
        </row>
        <row r="3169">
          <cell r="C3169" t="str">
            <v>Volume Tanki Air</v>
          </cell>
          <cell r="G3169" t="str">
            <v>V</v>
          </cell>
          <cell r="H3169">
            <v>4</v>
          </cell>
          <cell r="I3169" t="str">
            <v>M3</v>
          </cell>
        </row>
        <row r="3170">
          <cell r="C3170" t="str">
            <v>Kebutuhan air / M3 beton</v>
          </cell>
          <cell r="G3170" t="str">
            <v>Wc</v>
          </cell>
          <cell r="H3170">
            <v>5.5349999999999989E-2</v>
          </cell>
          <cell r="I3170" t="str">
            <v>M3</v>
          </cell>
        </row>
        <row r="3171">
          <cell r="C3171" t="str">
            <v>Faktor Efiesiensi Alat</v>
          </cell>
          <cell r="G3171" t="str">
            <v>Fa</v>
          </cell>
          <cell r="H3171">
            <v>0.83</v>
          </cell>
          <cell r="I3171" t="str">
            <v>-</v>
          </cell>
        </row>
        <row r="3172">
          <cell r="C3172" t="str">
            <v>Pengisian Tanki / jam</v>
          </cell>
          <cell r="G3172" t="str">
            <v>n</v>
          </cell>
          <cell r="H3172">
            <v>1</v>
          </cell>
          <cell r="I3172" t="str">
            <v>kali</v>
          </cell>
        </row>
        <row r="3174">
          <cell r="C3174" t="str">
            <v>Kap. Prod. / jam  =</v>
          </cell>
          <cell r="D3174" t="str">
            <v>V x Fa x n</v>
          </cell>
          <cell r="G3174" t="str">
            <v>Q2</v>
          </cell>
          <cell r="H3174">
            <v>59.981933152664865</v>
          </cell>
          <cell r="I3174" t="str">
            <v>M3</v>
          </cell>
        </row>
        <row r="3175">
          <cell r="D3175" t="str">
            <v>Wc</v>
          </cell>
        </row>
        <row r="3177">
          <cell r="C3177" t="str">
            <v>Koefisien Alat / M3</v>
          </cell>
          <cell r="D3177" t="str">
            <v xml:space="preserve">  =   1  :  Q2</v>
          </cell>
          <cell r="G3177" t="str">
            <v>(E23)</v>
          </cell>
          <cell r="H3177">
            <v>1.6671686746987949E-2</v>
          </cell>
          <cell r="I3177" t="str">
            <v>jam</v>
          </cell>
        </row>
        <row r="3179">
          <cell r="A3179" t="str">
            <v>2.c.</v>
          </cell>
          <cell r="C3179" t="str">
            <v>CONCRETE VIBRATOR</v>
          </cell>
          <cell r="G3179" t="str">
            <v>(E20)</v>
          </cell>
        </row>
        <row r="3180">
          <cell r="C3180" t="str">
            <v>Kebutuhan Alat Penggetar Beton ini disesuaikan dengan</v>
          </cell>
        </row>
        <row r="3181">
          <cell r="C3181" t="str">
            <v>kapasitas produksi Alat Pencampur (Concrete Mixer)</v>
          </cell>
        </row>
        <row r="3183">
          <cell r="C3183" t="str">
            <v>Kap. Prod. / jam  =</v>
          </cell>
          <cell r="D3183" t="str">
            <v>Kap.Prod./Jam Alat Concrete Mixer</v>
          </cell>
          <cell r="G3183" t="str">
            <v>Q3</v>
          </cell>
          <cell r="H3183">
            <v>2.2636363636363637</v>
          </cell>
          <cell r="I3183" t="str">
            <v>M3</v>
          </cell>
        </row>
        <row r="3185">
          <cell r="C3185" t="str">
            <v>Koefisien Alat / M3</v>
          </cell>
          <cell r="D3185" t="str">
            <v xml:space="preserve">  =   1  :  Q3</v>
          </cell>
          <cell r="G3185" t="str">
            <v>(E20)</v>
          </cell>
          <cell r="H3185">
            <v>0.44176706827309237</v>
          </cell>
          <cell r="I3185" t="str">
            <v>jam</v>
          </cell>
        </row>
        <row r="3187">
          <cell r="A3187" t="str">
            <v>2.c.</v>
          </cell>
          <cell r="C3187" t="str">
            <v>ALAT BANTU</v>
          </cell>
        </row>
        <row r="3188">
          <cell r="C3188" t="str">
            <v>Diperlukan  :</v>
          </cell>
        </row>
        <row r="3189">
          <cell r="C3189" t="str">
            <v>- Sekop</v>
          </cell>
          <cell r="D3189" t="str">
            <v>=  2  buah</v>
          </cell>
        </row>
        <row r="3190">
          <cell r="C3190" t="str">
            <v>- Pacul</v>
          </cell>
          <cell r="D3190" t="str">
            <v>=  2  buah</v>
          </cell>
        </row>
        <row r="3191">
          <cell r="C3191" t="str">
            <v>- Sendok Semen</v>
          </cell>
          <cell r="D3191" t="str">
            <v>=  2  buah</v>
          </cell>
        </row>
        <row r="3192">
          <cell r="C3192" t="str">
            <v>- Ember Cor</v>
          </cell>
          <cell r="D3192" t="str">
            <v>=  4  buah</v>
          </cell>
        </row>
        <row r="3193">
          <cell r="C3193" t="str">
            <v>- Gerobak Dorong</v>
          </cell>
          <cell r="D3193" t="str">
            <v>=  1  buah</v>
          </cell>
        </row>
        <row r="3195">
          <cell r="A3195" t="str">
            <v>3.</v>
          </cell>
          <cell r="C3195" t="str">
            <v>TENAGA</v>
          </cell>
        </row>
        <row r="3196">
          <cell r="C3196" t="str">
            <v>Produksi Beton dalam 1 hari</v>
          </cell>
          <cell r="E3196" t="str">
            <v>=  Tk x Q1</v>
          </cell>
          <cell r="G3196" t="str">
            <v>Qt</v>
          </cell>
          <cell r="H3196">
            <v>15.845454545454546</v>
          </cell>
          <cell r="I3196" t="str">
            <v>M3</v>
          </cell>
        </row>
        <row r="3198">
          <cell r="C3198" t="str">
            <v>Kebutuhan tenaga :</v>
          </cell>
          <cell r="D3198" t="str">
            <v>- Mandor</v>
          </cell>
          <cell r="G3198" t="str">
            <v>M</v>
          </cell>
          <cell r="H3198">
            <v>1</v>
          </cell>
          <cell r="I3198" t="str">
            <v>orang</v>
          </cell>
        </row>
        <row r="3199">
          <cell r="D3199" t="str">
            <v>- Tukang</v>
          </cell>
          <cell r="G3199" t="str">
            <v>Tb</v>
          </cell>
          <cell r="H3199">
            <v>4</v>
          </cell>
          <cell r="I3199" t="str">
            <v>orang</v>
          </cell>
        </row>
        <row r="3200">
          <cell r="D3200" t="str">
            <v>- Pekerja</v>
          </cell>
          <cell r="G3200" t="str">
            <v>P</v>
          </cell>
          <cell r="H3200">
            <v>12</v>
          </cell>
          <cell r="I3200" t="str">
            <v>orang</v>
          </cell>
        </row>
        <row r="3202">
          <cell r="C3202" t="str">
            <v>Koefisien Tenaga / M3   :</v>
          </cell>
        </row>
        <row r="3203">
          <cell r="D3203" t="str">
            <v>-  Mandor</v>
          </cell>
          <cell r="E3203" t="str">
            <v>= (Tk x M) : Qt</v>
          </cell>
          <cell r="G3203" t="str">
            <v>(L03)</v>
          </cell>
          <cell r="H3203">
            <v>0.44176706827309237</v>
          </cell>
          <cell r="I3203" t="str">
            <v>jam</v>
          </cell>
        </row>
        <row r="3204">
          <cell r="D3204" t="str">
            <v>-  Tukang</v>
          </cell>
          <cell r="E3204" t="str">
            <v>= (Tk x Tb) : Qt</v>
          </cell>
          <cell r="G3204" t="str">
            <v>(L02)</v>
          </cell>
          <cell r="H3204">
            <v>1.7670682730923695</v>
          </cell>
          <cell r="I3204" t="str">
            <v>jam</v>
          </cell>
        </row>
        <row r="3205">
          <cell r="D3205" t="str">
            <v>-  Pekerja</v>
          </cell>
          <cell r="E3205" t="str">
            <v>= (Tk x P) : Qt</v>
          </cell>
          <cell r="G3205" t="str">
            <v>(L01)</v>
          </cell>
          <cell r="H3205">
            <v>5.3012048192771086</v>
          </cell>
          <cell r="I3205" t="str">
            <v>jam</v>
          </cell>
        </row>
        <row r="3208">
          <cell r="A3208" t="str">
            <v>4.</v>
          </cell>
          <cell r="C3208" t="str">
            <v>HARGA DASAR SATUAN UPAH, BAHAN DAN ALAT</v>
          </cell>
        </row>
        <row r="3209">
          <cell r="C3209" t="str">
            <v>Lihat lampiran.</v>
          </cell>
        </row>
        <row r="3218">
          <cell r="J3218" t="str">
            <v>Berlanjut ke hal. berikut.</v>
          </cell>
        </row>
        <row r="3219">
          <cell r="A3219" t="str">
            <v>ITEM PEMBAYARAN NO.</v>
          </cell>
          <cell r="D3219" t="str">
            <v>: 5.5.(2)</v>
          </cell>
          <cell r="J3219" t="str">
            <v>Analisa EI-718</v>
          </cell>
        </row>
        <row r="3220">
          <cell r="A3220" t="str">
            <v>JENIS PEKERJAAN</v>
          </cell>
          <cell r="D3220" t="str">
            <v>: Pekerjaan LFAS Kelas B</v>
          </cell>
        </row>
        <row r="3221">
          <cell r="A3221" t="str">
            <v>SATUAN PEMBAYARAN</v>
          </cell>
          <cell r="D3221" t="str">
            <v>:  M3</v>
          </cell>
          <cell r="H3221" t="str">
            <v xml:space="preserve">        URAIAN ANALISA HARGA SATUAN</v>
          </cell>
        </row>
        <row r="3222">
          <cell r="J3222" t="str">
            <v>Lanjutan</v>
          </cell>
        </row>
        <row r="3224">
          <cell r="A3224" t="str">
            <v>No.</v>
          </cell>
          <cell r="C3224" t="str">
            <v>U R A I A N</v>
          </cell>
          <cell r="G3224" t="str">
            <v>KODE</v>
          </cell>
          <cell r="H3224" t="str">
            <v>KOEF.</v>
          </cell>
          <cell r="I3224" t="str">
            <v>SATUAN</v>
          </cell>
          <cell r="J3224" t="str">
            <v>KETERANGAN</v>
          </cell>
        </row>
        <row r="3227">
          <cell r="A3227" t="str">
            <v>5.</v>
          </cell>
          <cell r="C3227" t="str">
            <v>ANALISA HARGA SATUAN PEKERJAAN</v>
          </cell>
        </row>
        <row r="3228">
          <cell r="C3228" t="str">
            <v>Lihat perhitungan dalam FORMULIR STANDAR UNTUK</v>
          </cell>
        </row>
        <row r="3229">
          <cell r="C3229" t="str">
            <v>PEREKEMAN ANALISA MASING-MASING HARGA</v>
          </cell>
        </row>
        <row r="3230">
          <cell r="C3230" t="str">
            <v>SATUAN.</v>
          </cell>
        </row>
        <row r="3231">
          <cell r="C3231" t="str">
            <v>Didapat Harga Satuan Pekerjaan :</v>
          </cell>
        </row>
        <row r="3233">
          <cell r="C3233" t="str">
            <v xml:space="preserve">Rp.  </v>
          </cell>
          <cell r="D3233">
            <v>313349.42307399388</v>
          </cell>
          <cell r="E3233" t="str">
            <v xml:space="preserve"> / M3</v>
          </cell>
        </row>
        <row r="3236">
          <cell r="A3236" t="str">
            <v>6.</v>
          </cell>
          <cell r="C3236" t="str">
            <v>MASA PELAKSANAAN YANG DIPERLUKAN</v>
          </cell>
        </row>
        <row r="3237">
          <cell r="C3237" t="str">
            <v>Masa Pelaksanaan :</v>
          </cell>
          <cell r="D3237" t="str">
            <v>. . . . . . . . . . . .</v>
          </cell>
        </row>
        <row r="3239">
          <cell r="A3239" t="str">
            <v>7.</v>
          </cell>
          <cell r="C3239" t="str">
            <v>VOLUME PEKERJAAN YANG DIPERLUKAN</v>
          </cell>
        </row>
        <row r="3240">
          <cell r="C3240" t="str">
            <v>Volume pekerjaan  :</v>
          </cell>
          <cell r="D3240">
            <v>1</v>
          </cell>
          <cell r="E3240" t="str">
            <v>M3</v>
          </cell>
        </row>
        <row r="3281">
          <cell r="A3281" t="str">
            <v>ITEM PEMBAYARAN NO.</v>
          </cell>
          <cell r="D3281" t="str">
            <v>: 5.5.(3)</v>
          </cell>
          <cell r="J3281" t="str">
            <v>Analisa EI-718</v>
          </cell>
          <cell r="T3281" t="str">
            <v>Analisa EI-718</v>
          </cell>
        </row>
        <row r="3282">
          <cell r="A3282" t="str">
            <v>JENIS PEKERJAAN</v>
          </cell>
          <cell r="D3282" t="str">
            <v>: Pekerjaan LPAS Kelas C</v>
          </cell>
        </row>
        <row r="3283">
          <cell r="A3283" t="str">
            <v>SATUAN PEMBAYARAN</v>
          </cell>
          <cell r="D3283" t="str">
            <v>:  M3</v>
          </cell>
          <cell r="H3283" t="str">
            <v xml:space="preserve">        URAIAN ANALISA HARGA SATUAN</v>
          </cell>
          <cell r="L3283" t="str">
            <v>FORMULIR STANDAR UNTUK</v>
          </cell>
        </row>
        <row r="3284">
          <cell r="L3284" t="str">
            <v>PEREKAMAN ANALISA MASING-MASING HARGA SATUAN</v>
          </cell>
        </row>
        <row r="3285">
          <cell r="L3285" t="str">
            <v xml:space="preserve">                                                                                                            </v>
          </cell>
        </row>
        <row r="3286">
          <cell r="A3286" t="str">
            <v>No.</v>
          </cell>
          <cell r="C3286" t="str">
            <v>U R A I A N</v>
          </cell>
          <cell r="G3286" t="str">
            <v>KODE</v>
          </cell>
          <cell r="H3286" t="str">
            <v>KOEF.</v>
          </cell>
          <cell r="I3286" t="str">
            <v>SATUAN</v>
          </cell>
          <cell r="J3286" t="str">
            <v>KETERANGAN</v>
          </cell>
        </row>
        <row r="3288">
          <cell r="L3288" t="str">
            <v>PROYEK</v>
          </cell>
          <cell r="O3288" t="str">
            <v>:</v>
          </cell>
        </row>
        <row r="3289">
          <cell r="A3289" t="str">
            <v>I.</v>
          </cell>
          <cell r="C3289" t="str">
            <v>ASUMSI</v>
          </cell>
          <cell r="L3289" t="str">
            <v>No. PAKET KONTRAK</v>
          </cell>
          <cell r="O3289" t="str">
            <v>:</v>
          </cell>
        </row>
        <row r="3290">
          <cell r="A3290">
            <v>1</v>
          </cell>
          <cell r="C3290" t="str">
            <v>Menggunakan alat (cara mekanik)</v>
          </cell>
          <cell r="L3290" t="str">
            <v>NAMA PAKET</v>
          </cell>
          <cell r="O3290" t="str">
            <v>:</v>
          </cell>
        </row>
        <row r="3291">
          <cell r="A3291">
            <v>2</v>
          </cell>
          <cell r="C3291" t="str">
            <v>Lokasi pekerjaan : sepanjang jalan</v>
          </cell>
          <cell r="L3291" t="str">
            <v>PROP / KAB / KODYA</v>
          </cell>
          <cell r="O3291" t="str">
            <v>:</v>
          </cell>
        </row>
        <row r="3292">
          <cell r="A3292">
            <v>3</v>
          </cell>
          <cell r="C3292" t="str">
            <v>Agregat merupakan bahan Lapis Pondasi Agregat</v>
          </cell>
          <cell r="L3292" t="str">
            <v>ITEM PEMBAYARAN NO.</v>
          </cell>
          <cell r="O3292" t="str">
            <v>: 5.5.(3)</v>
          </cell>
          <cell r="R3292" t="str">
            <v>PERKIRAAN VOL. PEK.</v>
          </cell>
          <cell r="T3292" t="str">
            <v>:</v>
          </cell>
          <cell r="U3292">
            <v>1</v>
          </cell>
        </row>
        <row r="3293">
          <cell r="C3293" t="str">
            <v>Kelas C yang telah dicampur di base camp dan</v>
          </cell>
          <cell r="L3293" t="str">
            <v>JENIS PEKERJAAN</v>
          </cell>
          <cell r="O3293" t="str">
            <v>: Pekerjaan LPAS Kelas C</v>
          </cell>
          <cell r="R3293" t="str">
            <v>TOTAL HARGA (Rp.)</v>
          </cell>
          <cell r="T3293" t="str">
            <v>:</v>
          </cell>
          <cell r="U3293">
            <v>31522.779454667012</v>
          </cell>
        </row>
        <row r="3294">
          <cell r="C3294" t="str">
            <v>selanjutnya dimuat ke truck dengan wheel loader</v>
          </cell>
        </row>
        <row r="3295">
          <cell r="A3295">
            <v>4</v>
          </cell>
          <cell r="C3295" t="str">
            <v>Jarak rata-rata Base camp ke lokasi pekerjaan</v>
          </cell>
          <cell r="G3295" t="str">
            <v>L</v>
          </cell>
          <cell r="H3295">
            <v>0</v>
          </cell>
          <cell r="I3295" t="str">
            <v>KM</v>
          </cell>
          <cell r="L3295" t="str">
            <v>SATUAN PEMBAYARAN</v>
          </cell>
          <cell r="O3295" t="str">
            <v>:  M3</v>
          </cell>
          <cell r="R3295" t="str">
            <v>% THD. BIAYA PROYEK</v>
          </cell>
          <cell r="T3295" t="str">
            <v>:</v>
          </cell>
          <cell r="U3295" t="e">
            <v>#DIV/0!</v>
          </cell>
        </row>
        <row r="3296">
          <cell r="A3296">
            <v>5</v>
          </cell>
          <cell r="C3296" t="str">
            <v>Jam kerja efektif per-hari</v>
          </cell>
          <cell r="G3296" t="str">
            <v>Tk</v>
          </cell>
          <cell r="H3296">
            <v>7</v>
          </cell>
          <cell r="I3296" t="str">
            <v>jam</v>
          </cell>
        </row>
        <row r="3297">
          <cell r="A3297">
            <v>6</v>
          </cell>
          <cell r="C3297" t="str">
            <v>Kadar Semen Minimum (Spesifikasi)</v>
          </cell>
          <cell r="G3297" t="str">
            <v>Ks</v>
          </cell>
          <cell r="H3297">
            <v>250</v>
          </cell>
          <cell r="I3297" t="str">
            <v>Kg/M3</v>
          </cell>
        </row>
        <row r="3298">
          <cell r="A3298">
            <v>7</v>
          </cell>
          <cell r="C3298" t="str">
            <v>Perbandingan Air/Semen Maksimum (Spesifikasi)</v>
          </cell>
          <cell r="G3298" t="str">
            <v>Wcr</v>
          </cell>
          <cell r="H3298">
            <v>0.6</v>
          </cell>
          <cell r="I3298" t="str">
            <v>-</v>
          </cell>
          <cell r="L3298" t="str">
            <v>NO.</v>
          </cell>
          <cell r="N3298" t="str">
            <v>KOMPONEN</v>
          </cell>
          <cell r="P3298" t="str">
            <v>SATUAN</v>
          </cell>
          <cell r="Q3298" t="str">
            <v>KUANTITAS</v>
          </cell>
          <cell r="R3298" t="str">
            <v>SATUAN</v>
          </cell>
          <cell r="S3298" t="str">
            <v>HARGA</v>
          </cell>
        </row>
        <row r="3299">
          <cell r="A3299">
            <v>8</v>
          </cell>
          <cell r="C3299" t="str">
            <v>Perbandingan Camp.</v>
          </cell>
          <cell r="D3299">
            <v>12</v>
          </cell>
          <cell r="E3299" t="str">
            <v>:  Semen</v>
          </cell>
          <cell r="G3299" t="str">
            <v>Sm</v>
          </cell>
          <cell r="H3299">
            <v>12</v>
          </cell>
          <cell r="I3299" t="str">
            <v>%</v>
          </cell>
          <cell r="J3299" t="str">
            <v xml:space="preserve"> Berdasarkan</v>
          </cell>
          <cell r="R3299" t="str">
            <v>(Rp.)</v>
          </cell>
          <cell r="S3299" t="str">
            <v>(Rp.)</v>
          </cell>
        </row>
        <row r="3300">
          <cell r="D3300">
            <v>47</v>
          </cell>
          <cell r="E3300" t="str">
            <v>:  Agregat Halus</v>
          </cell>
          <cell r="G3300" t="str">
            <v>Fa</v>
          </cell>
          <cell r="H3300">
            <v>41.4</v>
          </cell>
          <cell r="I3300" t="str">
            <v>%</v>
          </cell>
          <cell r="J3300" t="str">
            <v xml:space="preserve"> JMF &amp; sesuai</v>
          </cell>
        </row>
        <row r="3301">
          <cell r="D3301">
            <v>38</v>
          </cell>
          <cell r="E3301" t="str">
            <v>:  Agregat Kasar</v>
          </cell>
          <cell r="G3301" t="str">
            <v>Ca</v>
          </cell>
          <cell r="H3301">
            <v>33.4</v>
          </cell>
          <cell r="I3301" t="str">
            <v>%</v>
          </cell>
          <cell r="J3301" t="str">
            <v xml:space="preserve"> </v>
          </cell>
        </row>
        <row r="3302">
          <cell r="D3302">
            <v>15</v>
          </cell>
          <cell r="E3302" t="str">
            <v>: Tanah</v>
          </cell>
          <cell r="G3302" t="str">
            <v>Tnh</v>
          </cell>
          <cell r="H3302">
            <v>13.2</v>
          </cell>
          <cell r="I3302" t="str">
            <v>%</v>
          </cell>
        </row>
        <row r="3303">
          <cell r="A3303">
            <v>9</v>
          </cell>
          <cell r="C3303" t="str">
            <v>Berat Jenis Material :</v>
          </cell>
          <cell r="L3303" t="str">
            <v>A.</v>
          </cell>
          <cell r="N3303" t="str">
            <v>TENAGA</v>
          </cell>
        </row>
        <row r="3304">
          <cell r="C3304" t="str">
            <v>-  Beton</v>
          </cell>
          <cell r="G3304" t="str">
            <v>D1</v>
          </cell>
          <cell r="H3304">
            <v>2.25</v>
          </cell>
          <cell r="I3304" t="str">
            <v>T/M3</v>
          </cell>
        </row>
        <row r="3305">
          <cell r="C3305" t="str">
            <v>-  Semen</v>
          </cell>
          <cell r="G3305" t="str">
            <v>D2</v>
          </cell>
          <cell r="H3305">
            <v>3</v>
          </cell>
          <cell r="I3305" t="str">
            <v>T/M3</v>
          </cell>
          <cell r="L3305" t="str">
            <v>1.</v>
          </cell>
          <cell r="N3305" t="str">
            <v>Pekerja</v>
          </cell>
          <cell r="O3305" t="str">
            <v>(L01)</v>
          </cell>
          <cell r="P3305" t="str">
            <v>jam</v>
          </cell>
          <cell r="Q3305">
            <v>5.3012048192771086</v>
          </cell>
          <cell r="R3305">
            <v>2857.14</v>
          </cell>
          <cell r="U3305">
            <v>15146.284337349398</v>
          </cell>
        </row>
        <row r="3306">
          <cell r="C3306" t="str">
            <v>-  Agregat Kelas C</v>
          </cell>
          <cell r="G3306" t="str">
            <v>D3</v>
          </cell>
          <cell r="H3306">
            <v>1.9</v>
          </cell>
          <cell r="I3306" t="str">
            <v>T/M3</v>
          </cell>
          <cell r="L3306" t="str">
            <v>2.</v>
          </cell>
          <cell r="N3306" t="str">
            <v>Tukang</v>
          </cell>
          <cell r="O3306" t="str">
            <v>(L02)</v>
          </cell>
          <cell r="P3306" t="str">
            <v>jam</v>
          </cell>
          <cell r="Q3306">
            <v>1.7670682730923695</v>
          </cell>
          <cell r="R3306">
            <v>4285.71</v>
          </cell>
          <cell r="U3306">
            <v>7573.142168674699</v>
          </cell>
        </row>
        <row r="3307">
          <cell r="C3307" t="str">
            <v xml:space="preserve"> </v>
          </cell>
          <cell r="G3307" t="str">
            <v xml:space="preserve"> </v>
          </cell>
          <cell r="H3307" t="str">
            <v xml:space="preserve"> </v>
          </cell>
          <cell r="I3307" t="str">
            <v xml:space="preserve"> </v>
          </cell>
          <cell r="L3307" t="str">
            <v>3.</v>
          </cell>
          <cell r="N3307" t="str">
            <v>Mandor</v>
          </cell>
          <cell r="O3307" t="str">
            <v>(L03)</v>
          </cell>
          <cell r="P3307" t="str">
            <v>jam</v>
          </cell>
          <cell r="Q3307">
            <v>0.44176706827309237</v>
          </cell>
          <cell r="R3307">
            <v>3214.29</v>
          </cell>
          <cell r="U3307">
            <v>1419.9674698795181</v>
          </cell>
        </row>
        <row r="3308">
          <cell r="C3308" t="str">
            <v/>
          </cell>
        </row>
        <row r="3309">
          <cell r="A3309" t="str">
            <v>II.</v>
          </cell>
          <cell r="C3309" t="str">
            <v>URUTAN KERJA</v>
          </cell>
          <cell r="Q3309" t="str">
            <v xml:space="preserve">JUMLAH HARGA TENAGA   </v>
          </cell>
          <cell r="U3309">
            <v>24139.393975903615</v>
          </cell>
        </row>
        <row r="3310">
          <cell r="A3310">
            <v>1</v>
          </cell>
          <cell r="C3310" t="str">
            <v>Semen, pasir, batu kerikil dan air dicampur dan diaduk</v>
          </cell>
        </row>
        <row r="3311">
          <cell r="C3311" t="str">
            <v>menjadi beton dengan menggunakan Concrete Mixer</v>
          </cell>
          <cell r="L3311" t="str">
            <v>B.</v>
          </cell>
          <cell r="N3311" t="str">
            <v>BAHAN</v>
          </cell>
        </row>
        <row r="3312">
          <cell r="A3312">
            <v>2</v>
          </cell>
          <cell r="C3312" t="str">
            <v>Beton di-cor ke dalam bekisting yang telah disiapkan</v>
          </cell>
        </row>
        <row r="3313">
          <cell r="A3313">
            <v>3</v>
          </cell>
          <cell r="C3313" t="str">
            <v>Penyelesaian dan perapihan setelah pemasangan</v>
          </cell>
          <cell r="L3313" t="str">
            <v>1.</v>
          </cell>
          <cell r="N3313" t="str">
            <v>Semen</v>
          </cell>
          <cell r="O3313" t="str">
            <v>(M12)</v>
          </cell>
          <cell r="P3313" t="str">
            <v>Kg</v>
          </cell>
          <cell r="Q3313">
            <v>276.75</v>
          </cell>
          <cell r="R3313">
            <v>1357.5</v>
          </cell>
          <cell r="U3313">
            <v>375688.125</v>
          </cell>
        </row>
        <row r="3314">
          <cell r="L3314" t="str">
            <v>2.</v>
          </cell>
          <cell r="N3314" t="str">
            <v>Aggregat Klas C</v>
          </cell>
          <cell r="O3314" t="str">
            <v>(M01)</v>
          </cell>
          <cell r="P3314" t="str">
            <v>M3</v>
          </cell>
          <cell r="Q3314">
            <v>0.50251973684210527</v>
          </cell>
          <cell r="R3314">
            <v>141787.08464737452</v>
          </cell>
          <cell r="U3314">
            <v>71250.808464607951</v>
          </cell>
        </row>
        <row r="3315">
          <cell r="A3315" t="str">
            <v>III.</v>
          </cell>
          <cell r="C3315" t="str">
            <v>PEMAKAIAN BAHAN, ALAT DAN TENAGA</v>
          </cell>
        </row>
        <row r="3317">
          <cell r="A3317" t="str">
            <v xml:space="preserve">   1.</v>
          </cell>
          <cell r="C3317" t="str">
            <v>BAHAN</v>
          </cell>
        </row>
        <row r="3318">
          <cell r="A3318" t="str">
            <v>1.a.</v>
          </cell>
          <cell r="C3318" t="str">
            <v>Semen (PC)          =</v>
          </cell>
          <cell r="D3318" t="str">
            <v xml:space="preserve">   {Sm x D1 x 1000} x 1.025</v>
          </cell>
          <cell r="G3318" t="str">
            <v>(M12)</v>
          </cell>
          <cell r="H3318">
            <v>276.75</v>
          </cell>
          <cell r="I3318" t="str">
            <v>Kg</v>
          </cell>
        </row>
        <row r="3319">
          <cell r="A3319" t="str">
            <v>1.b.</v>
          </cell>
          <cell r="C3319" t="str">
            <v>Agregat Kelas C</v>
          </cell>
          <cell r="D3319" t="str">
            <v xml:space="preserve">   {(Ps x D1) : D3} x 1.025</v>
          </cell>
          <cell r="G3319" t="str">
            <v>(M01)</v>
          </cell>
          <cell r="H3319">
            <v>0.50251973684210527</v>
          </cell>
          <cell r="I3319" t="str">
            <v>M3</v>
          </cell>
        </row>
        <row r="3320">
          <cell r="A3320" t="str">
            <v>1.c.</v>
          </cell>
          <cell r="C3320" t="str">
            <v xml:space="preserve"> </v>
          </cell>
          <cell r="D3320" t="str">
            <v xml:space="preserve"> </v>
          </cell>
          <cell r="G3320" t="str">
            <v xml:space="preserve"> </v>
          </cell>
          <cell r="H3320" t="str">
            <v xml:space="preserve"> </v>
          </cell>
          <cell r="I3320" t="str">
            <v xml:space="preserve"> </v>
          </cell>
          <cell r="J3320" t="str">
            <v xml:space="preserve"> </v>
          </cell>
        </row>
        <row r="3321">
          <cell r="A3321" t="str">
            <v>1.e.</v>
          </cell>
          <cell r="C3321" t="str">
            <v>Bekisting</v>
          </cell>
          <cell r="G3321" t="str">
            <v>(M19)</v>
          </cell>
          <cell r="H3321">
            <v>0.05</v>
          </cell>
          <cell r="I3321" t="str">
            <v>M3</v>
          </cell>
        </row>
        <row r="3322">
          <cell r="A3322" t="str">
            <v>1.f</v>
          </cell>
          <cell r="C3322" t="str">
            <v>Paku</v>
          </cell>
          <cell r="G3322" t="str">
            <v>(M18)</v>
          </cell>
          <cell r="H3322">
            <v>0.4</v>
          </cell>
          <cell r="I3322" t="str">
            <v>Kg</v>
          </cell>
        </row>
        <row r="3324">
          <cell r="A3324" t="str">
            <v>2.</v>
          </cell>
          <cell r="C3324" t="str">
            <v>ALAT</v>
          </cell>
        </row>
        <row r="3325">
          <cell r="A3325" t="str">
            <v>2.a.</v>
          </cell>
          <cell r="C3325" t="str">
            <v>CONCRETE MIXER</v>
          </cell>
          <cell r="G3325" t="str">
            <v>(E06)</v>
          </cell>
        </row>
        <row r="3326">
          <cell r="C3326" t="str">
            <v>Kapasitas Alat</v>
          </cell>
          <cell r="G3326" t="str">
            <v>V</v>
          </cell>
          <cell r="H3326">
            <v>500</v>
          </cell>
          <cell r="I3326" t="str">
            <v>liter</v>
          </cell>
        </row>
        <row r="3327">
          <cell r="C3327" t="str">
            <v>Faktor Efisiensi Alat</v>
          </cell>
          <cell r="G3327" t="str">
            <v>Fa</v>
          </cell>
          <cell r="H3327">
            <v>0.83</v>
          </cell>
          <cell r="I3327" t="str">
            <v>-</v>
          </cell>
        </row>
        <row r="3328">
          <cell r="C3328" t="str">
            <v>Waktu siklus   :</v>
          </cell>
          <cell r="D3328" t="str">
            <v>(T1 + T2 + T3 + T4)</v>
          </cell>
          <cell r="G3328" t="str">
            <v>Ts</v>
          </cell>
        </row>
        <row r="3329">
          <cell r="C3329" t="str">
            <v>-  Memuat</v>
          </cell>
          <cell r="G3329" t="str">
            <v>T1</v>
          </cell>
          <cell r="H3329">
            <v>3</v>
          </cell>
          <cell r="I3329" t="str">
            <v>menit</v>
          </cell>
        </row>
        <row r="3330">
          <cell r="C3330" t="str">
            <v>-  Mengaduk</v>
          </cell>
          <cell r="G3330" t="str">
            <v>T2</v>
          </cell>
          <cell r="H3330">
            <v>2</v>
          </cell>
          <cell r="I3330" t="str">
            <v>menit</v>
          </cell>
        </row>
        <row r="3331">
          <cell r="C3331" t="str">
            <v>-  Menuang</v>
          </cell>
          <cell r="G3331" t="str">
            <v>T3</v>
          </cell>
          <cell r="H3331">
            <v>3</v>
          </cell>
          <cell r="I3331" t="str">
            <v>menit</v>
          </cell>
        </row>
        <row r="3332">
          <cell r="C3332" t="str">
            <v>-  Tunggu, dll.</v>
          </cell>
          <cell r="G3332" t="str">
            <v>T4</v>
          </cell>
          <cell r="H3332">
            <v>3</v>
          </cell>
          <cell r="I3332" t="str">
            <v>menit</v>
          </cell>
        </row>
        <row r="3333">
          <cell r="G3333" t="str">
            <v>Ts</v>
          </cell>
          <cell r="H3333">
            <v>11</v>
          </cell>
          <cell r="I3333" t="str">
            <v>menit</v>
          </cell>
        </row>
        <row r="3335">
          <cell r="C3335" t="str">
            <v>Kap. Prod. / jam  =</v>
          </cell>
          <cell r="D3335" t="str">
            <v>V x Fa x 60</v>
          </cell>
          <cell r="G3335" t="str">
            <v>Q1</v>
          </cell>
          <cell r="H3335">
            <v>2.2636363636363637</v>
          </cell>
          <cell r="I3335" t="str">
            <v>M3</v>
          </cell>
        </row>
        <row r="3336">
          <cell r="D3336" t="str">
            <v>1000 x Ts</v>
          </cell>
        </row>
        <row r="3338">
          <cell r="C3338" t="str">
            <v>Koefisien Alat / M3</v>
          </cell>
          <cell r="D3338" t="str">
            <v xml:space="preserve">  =   1  :  Q1</v>
          </cell>
          <cell r="G3338" t="str">
            <v>(E06)</v>
          </cell>
          <cell r="H3338">
            <v>0.44176706827309237</v>
          </cell>
          <cell r="I3338" t="str">
            <v>jam</v>
          </cell>
        </row>
        <row r="3342">
          <cell r="J3342" t="str">
            <v>Berlanjut ke hal. berikut.</v>
          </cell>
        </row>
        <row r="3343">
          <cell r="A3343" t="str">
            <v>ITEM PEMBAYARAN NO.</v>
          </cell>
          <cell r="D3343" t="str">
            <v>: 5.5.(3)</v>
          </cell>
          <cell r="J3343" t="str">
            <v>Analisa EI-718</v>
          </cell>
        </row>
        <row r="3344">
          <cell r="A3344" t="str">
            <v>JENIS PEKERJAAN</v>
          </cell>
          <cell r="D3344" t="str">
            <v>: Pekerjaan LPAS Kelas C</v>
          </cell>
        </row>
        <row r="3345">
          <cell r="A3345" t="str">
            <v>SATUAN PEMBAYARAN</v>
          </cell>
          <cell r="D3345" t="str">
            <v>:  M3</v>
          </cell>
          <cell r="H3345" t="str">
            <v xml:space="preserve">        URAIAN ANALISA HARGA SATUAN</v>
          </cell>
        </row>
        <row r="3346">
          <cell r="J3346" t="str">
            <v>Lanjutan</v>
          </cell>
        </row>
        <row r="3348">
          <cell r="A3348" t="str">
            <v>No.</v>
          </cell>
          <cell r="C3348" t="str">
            <v>U R A I A N</v>
          </cell>
          <cell r="G3348" t="str">
            <v>KODE</v>
          </cell>
          <cell r="H3348" t="str">
            <v>KOEF.</v>
          </cell>
          <cell r="I3348" t="str">
            <v>SATUAN</v>
          </cell>
          <cell r="J3348" t="str">
            <v>KETERANGAN</v>
          </cell>
        </row>
        <row r="3351">
          <cell r="A3351" t="str">
            <v>2.b.</v>
          </cell>
          <cell r="C3351" t="str">
            <v>WATER TANK TRUCK</v>
          </cell>
          <cell r="G3351" t="str">
            <v>(E23)</v>
          </cell>
        </row>
        <row r="3352">
          <cell r="C3352" t="str">
            <v>Volume Tanki Air</v>
          </cell>
          <cell r="G3352" t="str">
            <v>V</v>
          </cell>
          <cell r="H3352">
            <v>4</v>
          </cell>
          <cell r="I3352" t="str">
            <v>M3</v>
          </cell>
        </row>
        <row r="3353">
          <cell r="C3353" t="str">
            <v>Kebutuhan air / M3 beton</v>
          </cell>
          <cell r="G3353" t="str">
            <v>Wc</v>
          </cell>
          <cell r="H3353">
            <v>0.16604999999999998</v>
          </cell>
          <cell r="I3353" t="str">
            <v>M3</v>
          </cell>
        </row>
        <row r="3354">
          <cell r="C3354" t="str">
            <v>Faktor Efiesiensi Alat</v>
          </cell>
          <cell r="G3354" t="str">
            <v>Fa</v>
          </cell>
          <cell r="H3354">
            <v>0.83</v>
          </cell>
          <cell r="I3354" t="str">
            <v>-</v>
          </cell>
        </row>
        <row r="3355">
          <cell r="C3355" t="str">
            <v>Pengisian Tanki / jam</v>
          </cell>
          <cell r="G3355" t="str">
            <v>n</v>
          </cell>
          <cell r="H3355">
            <v>1</v>
          </cell>
          <cell r="I3355" t="str">
            <v>kali</v>
          </cell>
        </row>
        <row r="3357">
          <cell r="C3357" t="str">
            <v>Kap. Prod. / jam  =</v>
          </cell>
          <cell r="D3357" t="str">
            <v>V x Fa x n</v>
          </cell>
          <cell r="G3357" t="str">
            <v>Q2</v>
          </cell>
          <cell r="H3357">
            <v>19.993977717554955</v>
          </cell>
          <cell r="I3357" t="str">
            <v>M3</v>
          </cell>
        </row>
        <row r="3358">
          <cell r="D3358" t="str">
            <v>Wc</v>
          </cell>
        </row>
        <row r="3360">
          <cell r="C3360" t="str">
            <v>Koefisien Alat / M3</v>
          </cell>
          <cell r="D3360" t="str">
            <v xml:space="preserve">  =   1  :  Q2</v>
          </cell>
          <cell r="G3360" t="str">
            <v>(E23)</v>
          </cell>
          <cell r="H3360">
            <v>5.0015060240963853E-2</v>
          </cell>
          <cell r="I3360" t="str">
            <v>jam</v>
          </cell>
        </row>
        <row r="3362">
          <cell r="A3362" t="str">
            <v>2.c.</v>
          </cell>
          <cell r="C3362" t="str">
            <v>CONCRETE VIBRATOR</v>
          </cell>
          <cell r="G3362" t="str">
            <v>(E20)</v>
          </cell>
        </row>
        <row r="3363">
          <cell r="C3363" t="str">
            <v>Kebutuhan Alat Penggetar Beton ini disesuaikan dengan</v>
          </cell>
        </row>
        <row r="3364">
          <cell r="C3364" t="str">
            <v>kapasitas produksi Alat Pencampur (Concrete Mixer)</v>
          </cell>
        </row>
        <row r="3366">
          <cell r="C3366" t="str">
            <v>Kap. Prod. / jam  =</v>
          </cell>
          <cell r="D3366" t="str">
            <v>Kap.Prod./Jam Alat Concrete Mixer</v>
          </cell>
          <cell r="G3366" t="str">
            <v>Q3</v>
          </cell>
          <cell r="H3366">
            <v>2.2636363636363637</v>
          </cell>
          <cell r="I3366" t="str">
            <v>M3</v>
          </cell>
        </row>
        <row r="3368">
          <cell r="C3368" t="str">
            <v>Koefisien Alat / M3</v>
          </cell>
          <cell r="D3368" t="str">
            <v xml:space="preserve">  =   1  :  Q3</v>
          </cell>
          <cell r="G3368" t="str">
            <v>(E20)</v>
          </cell>
          <cell r="H3368">
            <v>0.44176706827309237</v>
          </cell>
          <cell r="I3368" t="str">
            <v>jam</v>
          </cell>
        </row>
        <row r="3370">
          <cell r="A3370" t="str">
            <v>2.c.</v>
          </cell>
          <cell r="C3370" t="str">
            <v>ALAT BANTU</v>
          </cell>
        </row>
        <row r="3371">
          <cell r="C3371" t="str">
            <v>Diperlukan  :</v>
          </cell>
        </row>
        <row r="3372">
          <cell r="C3372" t="str">
            <v>- Sekop</v>
          </cell>
          <cell r="D3372" t="str">
            <v>=  2  buah</v>
          </cell>
        </row>
        <row r="3373">
          <cell r="C3373" t="str">
            <v>- Pacul</v>
          </cell>
          <cell r="D3373" t="str">
            <v>=  2  buah</v>
          </cell>
        </row>
        <row r="3374">
          <cell r="C3374" t="str">
            <v>- Sendok Semen</v>
          </cell>
          <cell r="D3374" t="str">
            <v>=  2  buah</v>
          </cell>
        </row>
        <row r="3375">
          <cell r="C3375" t="str">
            <v>- Ember Cor</v>
          </cell>
          <cell r="D3375" t="str">
            <v>=  4  buah</v>
          </cell>
        </row>
        <row r="3376">
          <cell r="C3376" t="str">
            <v>- Gerobak Dorong</v>
          </cell>
          <cell r="D3376" t="str">
            <v>=  1  buah</v>
          </cell>
        </row>
        <row r="3378">
          <cell r="A3378" t="str">
            <v>3.</v>
          </cell>
          <cell r="C3378" t="str">
            <v>TENAGA</v>
          </cell>
        </row>
        <row r="3379">
          <cell r="C3379" t="str">
            <v>Produksi Beton dalam 1 hari</v>
          </cell>
          <cell r="E3379" t="str">
            <v>=  Tk x Q1</v>
          </cell>
          <cell r="G3379" t="str">
            <v>Qt</v>
          </cell>
          <cell r="H3379">
            <v>15.845454545454546</v>
          </cell>
          <cell r="I3379" t="str">
            <v>M3</v>
          </cell>
        </row>
        <row r="3381">
          <cell r="C3381" t="str">
            <v>Kebutuhan tenaga :</v>
          </cell>
          <cell r="D3381" t="str">
            <v>- Mandor</v>
          </cell>
          <cell r="G3381" t="str">
            <v>M</v>
          </cell>
          <cell r="H3381">
            <v>1</v>
          </cell>
          <cell r="I3381" t="str">
            <v>orang</v>
          </cell>
        </row>
        <row r="3382">
          <cell r="D3382" t="str">
            <v>- Tukang</v>
          </cell>
          <cell r="G3382" t="str">
            <v>Tb</v>
          </cell>
          <cell r="H3382">
            <v>4</v>
          </cell>
          <cell r="I3382" t="str">
            <v>orang</v>
          </cell>
        </row>
        <row r="3383">
          <cell r="D3383" t="str">
            <v>- Pekerja</v>
          </cell>
          <cell r="G3383" t="str">
            <v>P</v>
          </cell>
          <cell r="H3383">
            <v>12</v>
          </cell>
          <cell r="I3383" t="str">
            <v>orang</v>
          </cell>
        </row>
        <row r="3385">
          <cell r="C3385" t="str">
            <v>Koefisien Tenaga / M3   :</v>
          </cell>
        </row>
        <row r="3386">
          <cell r="D3386" t="str">
            <v>-  Mandor</v>
          </cell>
          <cell r="E3386" t="str">
            <v>= (Tk x M) : Qt</v>
          </cell>
          <cell r="G3386" t="str">
            <v>(L03)</v>
          </cell>
          <cell r="H3386">
            <v>0.44176706827309237</v>
          </cell>
          <cell r="I3386" t="str">
            <v>jam</v>
          </cell>
        </row>
        <row r="3387">
          <cell r="D3387" t="str">
            <v>-  Tukang</v>
          </cell>
          <cell r="E3387" t="str">
            <v>= (Tk x Tb) : Qt</v>
          </cell>
          <cell r="G3387" t="str">
            <v>(L02)</v>
          </cell>
          <cell r="H3387">
            <v>1.7670682730923695</v>
          </cell>
          <cell r="I3387" t="str">
            <v>jam</v>
          </cell>
        </row>
        <row r="3388">
          <cell r="D3388" t="str">
            <v>-  Pekerja</v>
          </cell>
          <cell r="E3388" t="str">
            <v>= (Tk x P) : Qt</v>
          </cell>
          <cell r="G3388" t="str">
            <v>(L01)</v>
          </cell>
          <cell r="H3388">
            <v>5.3012048192771086</v>
          </cell>
          <cell r="I3388" t="str">
            <v>jam</v>
          </cell>
        </row>
        <row r="3391">
          <cell r="A3391" t="str">
            <v>4.</v>
          </cell>
          <cell r="C3391" t="str">
            <v>HARGA DASAR SATUAN UPAH, BAHAN DAN ALAT</v>
          </cell>
        </row>
        <row r="3392">
          <cell r="C3392" t="str">
            <v>Lihat lampiran.</v>
          </cell>
        </row>
        <row r="3401">
          <cell r="J3401" t="str">
            <v>Berlanjut ke hal. berikut.</v>
          </cell>
        </row>
        <row r="3402">
          <cell r="A3402" t="str">
            <v>ITEM PEMBAYARAN NO.</v>
          </cell>
          <cell r="D3402" t="str">
            <v>: 5.5.(3)</v>
          </cell>
          <cell r="J3402" t="str">
            <v>Analisa EI-718</v>
          </cell>
        </row>
        <row r="3403">
          <cell r="A3403" t="str">
            <v>JENIS PEKERJAAN</v>
          </cell>
          <cell r="D3403" t="str">
            <v>: Pekerjaan LPAS Kelas C</v>
          </cell>
        </row>
        <row r="3404">
          <cell r="A3404" t="str">
            <v>SATUAN PEMBAYARAN</v>
          </cell>
          <cell r="D3404" t="str">
            <v>:  M3</v>
          </cell>
          <cell r="H3404" t="str">
            <v xml:space="preserve">        URAIAN ANALISA HARGA SATUAN</v>
          </cell>
        </row>
        <row r="3405">
          <cell r="J3405" t="str">
            <v>Lanjutan</v>
          </cell>
        </row>
        <row r="3407">
          <cell r="A3407" t="str">
            <v>No.</v>
          </cell>
          <cell r="C3407" t="str">
            <v>U R A I A N</v>
          </cell>
          <cell r="G3407" t="str">
            <v>KODE</v>
          </cell>
          <cell r="H3407" t="str">
            <v>KOEF.</v>
          </cell>
          <cell r="I3407" t="str">
            <v>SATUAN</v>
          </cell>
          <cell r="J3407" t="str">
            <v>KETERANGAN</v>
          </cell>
        </row>
        <row r="3410">
          <cell r="A3410" t="str">
            <v>5.</v>
          </cell>
          <cell r="C3410" t="str">
            <v>ANALISA HARGA SATUAN PEKERJAAN</v>
          </cell>
        </row>
        <row r="3411">
          <cell r="C3411" t="str">
            <v>Lihat perhitungan dalam FORMULIR STANDAR UNTUK</v>
          </cell>
        </row>
        <row r="3412">
          <cell r="C3412" t="str">
            <v>PEREKEMAN ANALISA MASING-MASING HARGA</v>
          </cell>
        </row>
        <row r="3413">
          <cell r="C3413" t="str">
            <v>SATUAN.</v>
          </cell>
        </row>
        <row r="3414">
          <cell r="C3414" t="str">
            <v>Didapat Harga Satuan Pekerjaan :</v>
          </cell>
        </row>
        <row r="3416">
          <cell r="C3416" t="str">
            <v xml:space="preserve">Rp.  </v>
          </cell>
          <cell r="D3416">
            <v>634714.46174467704</v>
          </cell>
          <cell r="E3416" t="str">
            <v xml:space="preserve"> / M3</v>
          </cell>
        </row>
        <row r="3419">
          <cell r="A3419" t="str">
            <v>6.</v>
          </cell>
          <cell r="C3419" t="str">
            <v>MASA PELAKSANAAN YANG DIPERLUKAN</v>
          </cell>
        </row>
        <row r="3420">
          <cell r="C3420" t="str">
            <v>Masa Pelaksanaan :</v>
          </cell>
          <cell r="D3420" t="str">
            <v>. . . . . . . . . . . .</v>
          </cell>
        </row>
        <row r="3422">
          <cell r="A3422" t="str">
            <v>7.</v>
          </cell>
          <cell r="C3422" t="str">
            <v>VOLUME PEKERJAAN YANG DIPERLUKAN</v>
          </cell>
        </row>
        <row r="3423">
          <cell r="C3423" t="str">
            <v>Volume pekerjaan  :</v>
          </cell>
          <cell r="D3423">
            <v>1</v>
          </cell>
          <cell r="E3423" t="str">
            <v>M3</v>
          </cell>
        </row>
        <row r="3463">
          <cell r="A3463" t="str">
            <v>ITEM  PEMBAYARAN</v>
          </cell>
          <cell r="D3463" t="str">
            <v xml:space="preserve">:  5.7 (1) </v>
          </cell>
          <cell r="J3463" t="str">
            <v>Analisa EI-7171</v>
          </cell>
        </row>
        <row r="3464">
          <cell r="A3464" t="str">
            <v>JENIS PEKERJAAN</v>
          </cell>
          <cell r="D3464" t="str">
            <v>: Wet  Lean Concrete (Tebal 10 cm)</v>
          </cell>
        </row>
        <row r="3465">
          <cell r="A3465" t="str">
            <v xml:space="preserve">SATUAN                                          </v>
          </cell>
          <cell r="E3465" t="str">
            <v>: M2</v>
          </cell>
        </row>
        <row r="3469">
          <cell r="A3469" t="str">
            <v>UNIT PERHITUNGAN :</v>
          </cell>
          <cell r="D3469">
            <v>100</v>
          </cell>
          <cell r="E3469" t="str">
            <v>M3</v>
          </cell>
          <cell r="G3469" t="str">
            <v xml:space="preserve">        URAIAN ANALISA HARGA SATUAN</v>
          </cell>
        </row>
        <row r="3471">
          <cell r="A3471" t="str">
            <v>No.</v>
          </cell>
          <cell r="C3471" t="str">
            <v>U R A I A N</v>
          </cell>
          <cell r="G3471" t="str">
            <v>KODE</v>
          </cell>
          <cell r="H3471" t="str">
            <v>KOEF.</v>
          </cell>
          <cell r="I3471" t="str">
            <v>SATUAN</v>
          </cell>
          <cell r="J3471" t="str">
            <v>KETERANGAN</v>
          </cell>
        </row>
        <row r="3474">
          <cell r="A3474" t="str">
            <v>I.</v>
          </cell>
          <cell r="C3474" t="str">
            <v>ASUMSI</v>
          </cell>
        </row>
        <row r="3475">
          <cell r="A3475">
            <v>1</v>
          </cell>
          <cell r="C3475" t="str">
            <v xml:space="preserve">Menggunakan cara mekanik  </v>
          </cell>
        </row>
        <row r="3476">
          <cell r="A3476">
            <v>2</v>
          </cell>
          <cell r="C3476" t="str">
            <v>Tebal   Lean Concrete  =</v>
          </cell>
          <cell r="H3476">
            <v>10</v>
          </cell>
          <cell r="I3476" t="str">
            <v>CM</v>
          </cell>
        </row>
        <row r="3477">
          <cell r="A3477">
            <v>3</v>
          </cell>
          <cell r="C3477" t="str">
            <v>Beton  ready mix  diterima  di lokasi  pekerjaan</v>
          </cell>
        </row>
        <row r="3478">
          <cell r="A3478">
            <v>4</v>
          </cell>
          <cell r="C3478" t="str">
            <v>Jam kerja efektif per-hari</v>
          </cell>
          <cell r="G3478" t="str">
            <v>Tk</v>
          </cell>
          <cell r="H3478">
            <v>7</v>
          </cell>
          <cell r="I3478" t="str">
            <v>jam</v>
          </cell>
        </row>
        <row r="3479">
          <cell r="A3479">
            <v>5</v>
          </cell>
          <cell r="C3479" t="str">
            <v>Harga ready mix franco lokasi/ proyek</v>
          </cell>
          <cell r="G3479" t="str">
            <v xml:space="preserve"> </v>
          </cell>
          <cell r="H3479" t="str">
            <v xml:space="preserve"> </v>
          </cell>
          <cell r="I3479" t="str">
            <v xml:space="preserve"> </v>
          </cell>
        </row>
        <row r="3480">
          <cell r="C3480" t="str">
            <v xml:space="preserve"> </v>
          </cell>
        </row>
        <row r="3481">
          <cell r="C3481" t="str">
            <v xml:space="preserve"> </v>
          </cell>
        </row>
        <row r="3482">
          <cell r="A3482" t="str">
            <v xml:space="preserve"> </v>
          </cell>
        </row>
        <row r="3484">
          <cell r="A3484" t="str">
            <v>II.</v>
          </cell>
          <cell r="C3484" t="str">
            <v>URUTAN KERJA</v>
          </cell>
        </row>
        <row r="3485">
          <cell r="A3485">
            <v>1</v>
          </cell>
          <cell r="C3485" t="str">
            <v>Mal /bekisting/form work  dipersiapkan sesuai dengan</v>
          </cell>
        </row>
        <row r="3486">
          <cell r="C3486" t="str">
            <v>gambar dan persyaratan</v>
          </cell>
        </row>
        <row r="3487">
          <cell r="A3487">
            <v>2</v>
          </cell>
          <cell r="C3487" t="str">
            <v>Beton di-cor ke dalam mal yang telah disiapkan</v>
          </cell>
        </row>
        <row r="3488">
          <cell r="A3488">
            <v>3</v>
          </cell>
          <cell r="C3488" t="str">
            <v xml:space="preserve">Penghamparan dan perataan dilakukan dengan </v>
          </cell>
        </row>
        <row r="3489">
          <cell r="C3489" t="str">
            <v>dengan memakai alat Slip Form Paver</v>
          </cell>
        </row>
        <row r="3490">
          <cell r="A3490" t="str">
            <v xml:space="preserve"> </v>
          </cell>
        </row>
        <row r="3491">
          <cell r="A3491" t="str">
            <v>III.</v>
          </cell>
          <cell r="C3491" t="str">
            <v>PEMAKAIAN BAHAN, ALAT DAN TENAGA</v>
          </cell>
        </row>
        <row r="3493">
          <cell r="A3493">
            <v>1</v>
          </cell>
          <cell r="C3493" t="str">
            <v>BAHAN</v>
          </cell>
        </row>
        <row r="3494">
          <cell r="A3494" t="str">
            <v>1.a.</v>
          </cell>
          <cell r="C3494" t="str">
            <v>Beton  K-125 Ready mix =  100  * 1.05</v>
          </cell>
          <cell r="H3494">
            <v>105</v>
          </cell>
          <cell r="I3494" t="str">
            <v>M3</v>
          </cell>
        </row>
        <row r="3495">
          <cell r="C3495" t="str">
            <v>Volume  Beton  per M2 = 0,1*1 =</v>
          </cell>
          <cell r="E3495" t="str">
            <v>0,1  M3</v>
          </cell>
        </row>
        <row r="3496">
          <cell r="A3496" t="str">
            <v>b</v>
          </cell>
          <cell r="C3496" t="str">
            <v>Form Work</v>
          </cell>
          <cell r="D3496" t="str">
            <v>= 0.1*100</v>
          </cell>
          <cell r="H3496">
            <v>20</v>
          </cell>
          <cell r="I3496" t="str">
            <v>M2</v>
          </cell>
        </row>
        <row r="3498">
          <cell r="A3498" t="str">
            <v>2.</v>
          </cell>
          <cell r="C3498" t="str">
            <v>ALAT</v>
          </cell>
        </row>
        <row r="3499">
          <cell r="A3499" t="str">
            <v>2.a.</v>
          </cell>
          <cell r="C3499" t="str">
            <v>EXCAVATOR</v>
          </cell>
          <cell r="G3499" t="str">
            <v>(E10)</v>
          </cell>
        </row>
        <row r="3500">
          <cell r="C3500" t="str">
            <v>Kapasitas Bucket</v>
          </cell>
          <cell r="G3500" t="str">
            <v>V</v>
          </cell>
          <cell r="H3500">
            <v>0.93</v>
          </cell>
          <cell r="I3500" t="str">
            <v>M3</v>
          </cell>
        </row>
        <row r="3501">
          <cell r="C3501" t="str">
            <v>Faktor Bucket</v>
          </cell>
          <cell r="G3501" t="str">
            <v>Fb</v>
          </cell>
          <cell r="H3501">
            <v>1</v>
          </cell>
          <cell r="I3501" t="str">
            <v>-</v>
          </cell>
        </row>
        <row r="3502">
          <cell r="C3502" t="str">
            <v>Faktor  Efisiensi alat</v>
          </cell>
          <cell r="G3502" t="str">
            <v>Fa</v>
          </cell>
          <cell r="H3502">
            <v>0.83</v>
          </cell>
          <cell r="I3502" t="str">
            <v>-</v>
          </cell>
        </row>
        <row r="3503">
          <cell r="C3503" t="str">
            <v>Faktor Konversi</v>
          </cell>
          <cell r="G3503" t="str">
            <v>Fv</v>
          </cell>
          <cell r="H3503">
            <v>0.9</v>
          </cell>
        </row>
        <row r="3505">
          <cell r="C3505" t="str">
            <v>Waktu siklus</v>
          </cell>
          <cell r="G3505" t="str">
            <v>Ts1</v>
          </cell>
        </row>
        <row r="3506">
          <cell r="C3506" t="str">
            <v>- Menggali,  memuat dan berputar</v>
          </cell>
          <cell r="G3506" t="str">
            <v>T1</v>
          </cell>
          <cell r="H3506">
            <v>0.317</v>
          </cell>
          <cell r="I3506" t="str">
            <v>menit</v>
          </cell>
        </row>
        <row r="3507">
          <cell r="C3507" t="str">
            <v>- Lain-lain</v>
          </cell>
          <cell r="G3507" t="str">
            <v>T2</v>
          </cell>
          <cell r="H3507">
            <v>0.5</v>
          </cell>
          <cell r="I3507" t="str">
            <v>menit</v>
          </cell>
        </row>
        <row r="3508">
          <cell r="G3508" t="str">
            <v>Ts1</v>
          </cell>
          <cell r="H3508">
            <v>0.81699999999999995</v>
          </cell>
          <cell r="I3508" t="str">
            <v>menit</v>
          </cell>
        </row>
        <row r="3510">
          <cell r="C3510" t="str">
            <v>Kap. Prod. / jam =</v>
          </cell>
          <cell r="D3510" t="str">
            <v>V  x Fb x Fa x Fv x  60</v>
          </cell>
          <cell r="G3510" t="str">
            <v>Q1</v>
          </cell>
          <cell r="H3510">
            <v>5.1019094247246022</v>
          </cell>
          <cell r="I3510" t="str">
            <v xml:space="preserve">M3  </v>
          </cell>
        </row>
        <row r="3511">
          <cell r="D3511" t="str">
            <v>Ts1 x Fk</v>
          </cell>
        </row>
        <row r="3513">
          <cell r="C3513" t="str">
            <v>Koefisien Alat / M3</v>
          </cell>
          <cell r="D3513" t="str">
            <v xml:space="preserve"> =  1  :  Q1</v>
          </cell>
          <cell r="G3513" t="str">
            <v>-</v>
          </cell>
          <cell r="H3513">
            <v>0.19600504766977109</v>
          </cell>
          <cell r="I3513" t="str">
            <v>Jam</v>
          </cell>
        </row>
        <row r="3517">
          <cell r="A3517" t="str">
            <v>2.b.</v>
          </cell>
          <cell r="C3517" t="str">
            <v>SLIP FORM PAVER</v>
          </cell>
        </row>
        <row r="3522">
          <cell r="A3522" t="str">
            <v>2.c.</v>
          </cell>
          <cell r="C3522" t="str">
            <v>CONCRETE VIBRATOR</v>
          </cell>
          <cell r="G3522" t="str">
            <v>(E20)</v>
          </cell>
        </row>
        <row r="3523">
          <cell r="C3523" t="str">
            <v>Kebutuhan Alat Penggetar Beton ini disesuaikan dengan</v>
          </cell>
        </row>
        <row r="3524">
          <cell r="C3524" t="str">
            <v>kapasitas produksi Concrete  Pump</v>
          </cell>
        </row>
        <row r="3525">
          <cell r="C3525" t="str">
            <v>Kap. Prod. / jam  =</v>
          </cell>
          <cell r="G3525" t="str">
            <v>Q3</v>
          </cell>
          <cell r="H3525">
            <v>10</v>
          </cell>
          <cell r="I3525" t="str">
            <v>M3</v>
          </cell>
          <cell r="J3525" t="str">
            <v>Cek Kap prod</v>
          </cell>
        </row>
        <row r="3526">
          <cell r="C3526" t="str">
            <v xml:space="preserve">Kebutuhan utk </v>
          </cell>
          <cell r="D3526">
            <v>100</v>
          </cell>
          <cell r="E3526" t="str">
            <v>M3</v>
          </cell>
          <cell r="G3526" t="str">
            <v>(E20)</v>
          </cell>
          <cell r="H3526">
            <v>10.5</v>
          </cell>
          <cell r="I3526" t="str">
            <v>jam</v>
          </cell>
        </row>
        <row r="3528">
          <cell r="A3528" t="str">
            <v>2.c.</v>
          </cell>
          <cell r="C3528" t="str">
            <v>ALAT BANTU</v>
          </cell>
        </row>
        <row r="3529">
          <cell r="C3529" t="str">
            <v>Diperlukan  :</v>
          </cell>
        </row>
        <row r="3530">
          <cell r="C3530" t="str">
            <v>- Sekop</v>
          </cell>
          <cell r="D3530" t="str">
            <v>=  2  buah</v>
          </cell>
        </row>
        <row r="3531">
          <cell r="C3531" t="str">
            <v>- Pacul</v>
          </cell>
          <cell r="D3531" t="str">
            <v>=  2  buah</v>
          </cell>
        </row>
        <row r="3532">
          <cell r="C3532" t="str">
            <v>Dan lain-lain</v>
          </cell>
        </row>
        <row r="3534">
          <cell r="A3534" t="str">
            <v>3.</v>
          </cell>
          <cell r="C3534" t="str">
            <v>TENAGA</v>
          </cell>
        </row>
        <row r="3535">
          <cell r="C3535" t="str">
            <v xml:space="preserve">Kebutuhan utk </v>
          </cell>
          <cell r="D3535">
            <v>100</v>
          </cell>
          <cell r="E3535" t="str">
            <v>M3</v>
          </cell>
        </row>
        <row r="3536">
          <cell r="C3536" t="str">
            <v>- Pengawas</v>
          </cell>
          <cell r="E3536" t="str">
            <v xml:space="preserve"> </v>
          </cell>
          <cell r="G3536" t="str">
            <v>Pg</v>
          </cell>
          <cell r="H3536">
            <v>7</v>
          </cell>
          <cell r="I3536" t="str">
            <v>hour</v>
          </cell>
        </row>
        <row r="3537">
          <cell r="C3537" t="str">
            <v>- Mandor</v>
          </cell>
          <cell r="E3537" t="str">
            <v>= 1 orang hari</v>
          </cell>
          <cell r="G3537" t="str">
            <v>M</v>
          </cell>
          <cell r="H3537">
            <v>21</v>
          </cell>
          <cell r="I3537" t="str">
            <v>hour</v>
          </cell>
        </row>
        <row r="3538">
          <cell r="C3538" t="str">
            <v>- Tukang/ Tenaga  trampil</v>
          </cell>
          <cell r="E3538" t="str">
            <v xml:space="preserve"> </v>
          </cell>
          <cell r="G3538" t="str">
            <v>Tb</v>
          </cell>
          <cell r="H3538">
            <v>35</v>
          </cell>
          <cell r="I3538" t="str">
            <v>hour</v>
          </cell>
        </row>
        <row r="3539">
          <cell r="C3539" t="str">
            <v>- Pekerja</v>
          </cell>
          <cell r="E3539" t="str">
            <v>= 2 orang hari</v>
          </cell>
          <cell r="G3539" t="str">
            <v>P</v>
          </cell>
          <cell r="H3539">
            <v>49</v>
          </cell>
          <cell r="I3539" t="str">
            <v>hour</v>
          </cell>
        </row>
        <row r="3542">
          <cell r="C3542" t="str">
            <v>DOMINAN: Slip Form Paver</v>
          </cell>
        </row>
        <row r="3553">
          <cell r="A3553" t="str">
            <v>ITEM  PEMBAYARAN</v>
          </cell>
          <cell r="E3553" t="str">
            <v xml:space="preserve">:  5.7 (1) </v>
          </cell>
          <cell r="J3553" t="str">
            <v>Analisa EI-7171</v>
          </cell>
        </row>
        <row r="3554">
          <cell r="A3554" t="str">
            <v>JENIS PEKERJAAN</v>
          </cell>
          <cell r="E3554" t="str">
            <v>: Wet  Lean Concrete (Tebal 10 cm)</v>
          </cell>
        </row>
        <row r="3555">
          <cell r="A3555" t="str">
            <v xml:space="preserve">SATUAN                                          </v>
          </cell>
          <cell r="E3555" t="str">
            <v>: M3</v>
          </cell>
        </row>
        <row r="3558">
          <cell r="A3558" t="str">
            <v>UNIT PERHITUNGAN :</v>
          </cell>
          <cell r="D3558">
            <v>100</v>
          </cell>
          <cell r="E3558" t="str">
            <v>M3</v>
          </cell>
          <cell r="G3558" t="str">
            <v xml:space="preserve">        URAIAN ANALISA HARGA SATUAN</v>
          </cell>
        </row>
        <row r="3560">
          <cell r="A3560" t="str">
            <v>4.</v>
          </cell>
          <cell r="C3560" t="str">
            <v>HARGA DASAR SATUAN UPAH, BAHAN DAN ALAT</v>
          </cell>
        </row>
        <row r="3561">
          <cell r="C3561" t="str">
            <v>Lihat lampiran.</v>
          </cell>
        </row>
        <row r="3563">
          <cell r="A3563" t="str">
            <v>5.</v>
          </cell>
          <cell r="C3563" t="str">
            <v>ANALISA HARGA SATUAN PEKERJAAN</v>
          </cell>
        </row>
        <row r="3564">
          <cell r="C3564" t="str">
            <v>Lihat perhitungan dalam FORMULIR STANDAR UNTUK</v>
          </cell>
        </row>
        <row r="3565">
          <cell r="C3565" t="str">
            <v>PEREKEMAN ANALISA MASING-MASING HARGA</v>
          </cell>
        </row>
        <row r="3566">
          <cell r="C3566" t="str">
            <v>SATUAN.</v>
          </cell>
        </row>
        <row r="3567">
          <cell r="C3567" t="str">
            <v>Didapat Harga Satuan Pekerjaan :</v>
          </cell>
        </row>
        <row r="3569">
          <cell r="C3569" t="str">
            <v xml:space="preserve">Rp.  </v>
          </cell>
          <cell r="D3569">
            <v>56726.178538879387</v>
          </cell>
          <cell r="E3569" t="str">
            <v xml:space="preserve"> / M2</v>
          </cell>
        </row>
        <row r="3572">
          <cell r="A3572" t="str">
            <v>6.</v>
          </cell>
          <cell r="C3572" t="str">
            <v>WAKTU PELAKSANAAN YANG DIPERLUKAN</v>
          </cell>
        </row>
        <row r="3573">
          <cell r="C3573" t="str">
            <v>Masa Pelaksanaan :</v>
          </cell>
          <cell r="D3573" t="str">
            <v>. . . . . . . . . . . .</v>
          </cell>
          <cell r="E3573" t="str">
            <v>bulan</v>
          </cell>
        </row>
        <row r="3575">
          <cell r="A3575" t="str">
            <v>7.</v>
          </cell>
          <cell r="C3575" t="str">
            <v>VOLUME PEKERJAAN YANG DIPERLUKAN</v>
          </cell>
        </row>
        <row r="3576">
          <cell r="C3576" t="str">
            <v>Volume pekerjaan  :</v>
          </cell>
          <cell r="D3576">
            <v>1</v>
          </cell>
          <cell r="E3576" t="str">
            <v>M2</v>
          </cell>
        </row>
        <row r="3582">
          <cell r="A3582" t="str">
            <v>ITEM PEMBAYARAN NO.</v>
          </cell>
          <cell r="D3582" t="str">
            <v>:  5.7 (2)</v>
          </cell>
          <cell r="J3582" t="str">
            <v>Analisa EI-511</v>
          </cell>
        </row>
        <row r="3583">
          <cell r="A3583" t="str">
            <v>JENIS PEKERJAAN</v>
          </cell>
          <cell r="D3583" t="str">
            <v>: Sand Bedding (t=5 cm)</v>
          </cell>
        </row>
        <row r="3584">
          <cell r="A3584" t="str">
            <v>SATUAN PEMBAYARAN</v>
          </cell>
          <cell r="D3584" t="str">
            <v>:  M2</v>
          </cell>
          <cell r="H3584" t="str">
            <v xml:space="preserve">         URAIAN ANALISA HARGA SATUAN</v>
          </cell>
        </row>
        <row r="3587">
          <cell r="A3587" t="str">
            <v>No.</v>
          </cell>
          <cell r="C3587" t="str">
            <v>U R A I A N</v>
          </cell>
          <cell r="G3587" t="str">
            <v>KODE</v>
          </cell>
          <cell r="H3587" t="str">
            <v>KOEF.</v>
          </cell>
          <cell r="I3587" t="str">
            <v>SATUAN</v>
          </cell>
          <cell r="J3587" t="str">
            <v>KETERANGAN</v>
          </cell>
        </row>
        <row r="3590">
          <cell r="A3590" t="str">
            <v>I.</v>
          </cell>
          <cell r="C3590" t="str">
            <v>ASUMSI</v>
          </cell>
        </row>
        <row r="3591">
          <cell r="A3591">
            <v>1</v>
          </cell>
          <cell r="C3591" t="str">
            <v>Pekerjaan dilakukan secara mekanis</v>
          </cell>
        </row>
        <row r="3592">
          <cell r="A3592">
            <v>2</v>
          </cell>
          <cell r="C3592" t="str">
            <v>Lokasi pekerjaan : sepanjang jalan</v>
          </cell>
        </row>
        <row r="3593">
          <cell r="A3593">
            <v>3</v>
          </cell>
          <cell r="C3593" t="str">
            <v>Kondisi Jalan   :  sedang / baik</v>
          </cell>
        </row>
        <row r="3594">
          <cell r="A3594">
            <v>4</v>
          </cell>
          <cell r="C3594" t="str">
            <v>Jam kerja efektif per-hari</v>
          </cell>
          <cell r="G3594" t="str">
            <v>Tk</v>
          </cell>
          <cell r="H3594">
            <v>7</v>
          </cell>
          <cell r="I3594" t="str">
            <v>Jam</v>
          </cell>
        </row>
        <row r="3595">
          <cell r="A3595">
            <v>5</v>
          </cell>
          <cell r="C3595" t="str">
            <v>Faktor pengembangan bahan</v>
          </cell>
          <cell r="G3595" t="str">
            <v>Fk</v>
          </cell>
          <cell r="H3595">
            <v>1.17</v>
          </cell>
          <cell r="I3595" t="str">
            <v>-</v>
          </cell>
        </row>
        <row r="3596">
          <cell r="A3596">
            <v>6</v>
          </cell>
          <cell r="C3596" t="str">
            <v>Tebal hamparan padat</v>
          </cell>
          <cell r="G3596" t="str">
            <v>t</v>
          </cell>
          <cell r="H3596">
            <v>0.05</v>
          </cell>
          <cell r="I3596" t="str">
            <v>M</v>
          </cell>
        </row>
        <row r="3598">
          <cell r="A3598" t="str">
            <v>II.</v>
          </cell>
          <cell r="C3598" t="str">
            <v>URUTAN KERJA</v>
          </cell>
        </row>
        <row r="3599">
          <cell r="A3599">
            <v>1</v>
          </cell>
          <cell r="C3599" t="str">
            <v>Wheel Loader memuat ke dalam Dump Truck</v>
          </cell>
        </row>
        <row r="3600">
          <cell r="A3600">
            <v>2</v>
          </cell>
          <cell r="C3600" t="str">
            <v>Dump Truck mengangkut ke lapangan dengan jarak</v>
          </cell>
        </row>
        <row r="3601">
          <cell r="C3601" t="str">
            <v>quari ke lapangan</v>
          </cell>
          <cell r="G3601" t="str">
            <v>L</v>
          </cell>
          <cell r="H3601">
            <v>80.61</v>
          </cell>
          <cell r="I3601" t="str">
            <v>Km</v>
          </cell>
        </row>
        <row r="3602">
          <cell r="A3602">
            <v>3</v>
          </cell>
          <cell r="C3602" t="str">
            <v>Material dihampar dengan menggunakan Motor Grader</v>
          </cell>
        </row>
        <row r="3603">
          <cell r="A3603">
            <v>4</v>
          </cell>
          <cell r="C3603" t="str">
            <v>Hamparan material disiram air dengan Watertank Truck</v>
          </cell>
        </row>
        <row r="3604">
          <cell r="C3604" t="str">
            <v>(sebelum pelaksanaan pemadatan) dan dipadatkan</v>
          </cell>
        </row>
        <row r="3605">
          <cell r="C3605" t="str">
            <v>dengan menggunakan Tandem Roller</v>
          </cell>
        </row>
        <row r="3606">
          <cell r="A3606">
            <v>5</v>
          </cell>
          <cell r="C3606" t="str">
            <v>Selama pemadatan sekelompok pekerja  akan</v>
          </cell>
        </row>
        <row r="3607">
          <cell r="C3607" t="str">
            <v>merapikan tepi hamparan dan level permukaan</v>
          </cell>
        </row>
        <row r="3608">
          <cell r="C3608" t="str">
            <v>dengan menggunakan alat bantu</v>
          </cell>
        </row>
        <row r="3610">
          <cell r="A3610" t="str">
            <v>III.</v>
          </cell>
          <cell r="C3610" t="str">
            <v>PEMAKAIAN BAHAN, ALAT DAN TENAGA</v>
          </cell>
        </row>
        <row r="3611">
          <cell r="A3611" t="str">
            <v xml:space="preserve">   1.</v>
          </cell>
          <cell r="C3611" t="str">
            <v>BAHAN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NP"/>
      <sheetName val="Additional"/>
      <sheetName val="NP (2)"/>
      <sheetName val="NP (3)"/>
      <sheetName val="Gal_Cold Milling"/>
      <sheetName val="Gal_Jack Hammer"/>
    </sheetNames>
    <sheetDataSet>
      <sheetData sheetId="0">
        <row r="841">
          <cell r="T841" t="str">
            <v>Analisa EI-323</v>
          </cell>
        </row>
        <row r="843">
          <cell r="L843" t="str">
            <v>FORMULIR STANDAR UNTUK</v>
          </cell>
        </row>
        <row r="844">
          <cell r="L844" t="str">
            <v>PEREKAMAN ANALISA MASING-MASING HARGA SATUAN</v>
          </cell>
        </row>
        <row r="845">
          <cell r="L845" t="str">
            <v xml:space="preserve">                                                                                                            </v>
          </cell>
        </row>
        <row r="848">
          <cell r="L848" t="str">
            <v>PROYEK</v>
          </cell>
          <cell r="O848" t="str">
            <v>:</v>
          </cell>
        </row>
        <row r="849">
          <cell r="L849" t="str">
            <v>No. PAKET KONTRAK</v>
          </cell>
          <cell r="O849" t="str">
            <v>:</v>
          </cell>
        </row>
        <row r="850">
          <cell r="L850" t="str">
            <v>NAMA PAKET</v>
          </cell>
          <cell r="O850" t="str">
            <v>:</v>
          </cell>
        </row>
        <row r="851">
          <cell r="L851" t="str">
            <v>PROP / KAB / KODYA</v>
          </cell>
          <cell r="O851" t="str">
            <v>:</v>
          </cell>
        </row>
        <row r="852">
          <cell r="L852" t="str">
            <v>ITEM PEMBAYARAN NO.</v>
          </cell>
          <cell r="O852" t="str">
            <v>:  3.2 (3)</v>
          </cell>
          <cell r="R852" t="str">
            <v>PERKIRAAN VOL. PEK.</v>
          </cell>
          <cell r="T852" t="str">
            <v>:</v>
          </cell>
          <cell r="U852">
            <v>54.599999999999994</v>
          </cell>
        </row>
        <row r="853">
          <cell r="L853" t="str">
            <v>JENIS PEKERJAAN</v>
          </cell>
          <cell r="O853" t="str">
            <v>:  Timbunan Pilihan</v>
          </cell>
          <cell r="R853" t="str">
            <v>TOTAL HARGA (Rp.)</v>
          </cell>
          <cell r="T853" t="str">
            <v>:</v>
          </cell>
          <cell r="U853">
            <v>5387639.7119999994</v>
          </cell>
        </row>
        <row r="854">
          <cell r="L854" t="str">
            <v>SATUAN PEMBAYARAN</v>
          </cell>
          <cell r="O854" t="str">
            <v>:  M3</v>
          </cell>
          <cell r="R854" t="str">
            <v>% THD. BIAYA PROYEK</v>
          </cell>
          <cell r="T854" t="str">
            <v>:</v>
          </cell>
          <cell r="U854">
            <v>0.99354175759007057</v>
          </cell>
        </row>
        <row r="857">
          <cell r="Q857" t="str">
            <v>PERKIRAAN</v>
          </cell>
          <cell r="R857" t="str">
            <v>HARGA</v>
          </cell>
          <cell r="S857" t="str">
            <v>JUMLAH</v>
          </cell>
        </row>
        <row r="858">
          <cell r="L858" t="str">
            <v>NO.</v>
          </cell>
          <cell r="N858" t="str">
            <v>KOMPONEN</v>
          </cell>
          <cell r="P858" t="str">
            <v>SATUAN</v>
          </cell>
          <cell r="Q858" t="str">
            <v>KUANTITAS</v>
          </cell>
          <cell r="R858" t="str">
            <v>SATUAN</v>
          </cell>
          <cell r="S858" t="str">
            <v>HARGA</v>
          </cell>
        </row>
        <row r="859">
          <cell r="R859" t="str">
            <v>(Rp.)</v>
          </cell>
          <cell r="S859" t="str">
            <v>(Rp.)</v>
          </cell>
        </row>
        <row r="862">
          <cell r="L862" t="str">
            <v>A.</v>
          </cell>
          <cell r="N862" t="str">
            <v>TENAGA</v>
          </cell>
        </row>
        <row r="864">
          <cell r="L864" t="str">
            <v>1.</v>
          </cell>
          <cell r="N864" t="str">
            <v>Pekerja</v>
          </cell>
          <cell r="O864" t="str">
            <v>(L01)</v>
          </cell>
          <cell r="P864" t="str">
            <v>Jam</v>
          </cell>
          <cell r="Q864">
            <v>7.1396697902721989E-2</v>
          </cell>
          <cell r="R864">
            <v>6428.5714285714284</v>
          </cell>
          <cell r="U864">
            <v>458.97877223178421</v>
          </cell>
        </row>
        <row r="865">
          <cell r="L865" t="str">
            <v>2.</v>
          </cell>
          <cell r="N865" t="str">
            <v>Mandor</v>
          </cell>
          <cell r="O865" t="str">
            <v>(L03)</v>
          </cell>
          <cell r="P865" t="str">
            <v>Jam</v>
          </cell>
          <cell r="Q865">
            <v>1.7849174475680497E-2</v>
          </cell>
          <cell r="R865">
            <v>8571.4285714285706</v>
          </cell>
          <cell r="U865">
            <v>152.99292407726139</v>
          </cell>
        </row>
        <row r="868">
          <cell r="Q868" t="str">
            <v xml:space="preserve">JUMLAH HARGA TENAGA   </v>
          </cell>
          <cell r="U868">
            <v>611.97169630904557</v>
          </cell>
        </row>
        <row r="870">
          <cell r="L870" t="str">
            <v>B.</v>
          </cell>
          <cell r="N870" t="str">
            <v>BAHAN</v>
          </cell>
        </row>
        <row r="872">
          <cell r="L872" t="str">
            <v>1.</v>
          </cell>
          <cell r="N872" t="str">
            <v>Bahan pilihan   (M09)</v>
          </cell>
          <cell r="O872" t="str">
            <v>(M09)</v>
          </cell>
          <cell r="P872" t="str">
            <v>M3</v>
          </cell>
          <cell r="Q872">
            <v>1.2</v>
          </cell>
          <cell r="R872">
            <v>52500</v>
          </cell>
          <cell r="U872">
            <v>63000</v>
          </cell>
        </row>
        <row r="878">
          <cell r="Q878" t="str">
            <v xml:space="preserve">JUMLAH HARGA BAHAN   </v>
          </cell>
          <cell r="U878">
            <v>63000</v>
          </cell>
        </row>
        <row r="880">
          <cell r="L880" t="str">
            <v>C.</v>
          </cell>
          <cell r="N880" t="str">
            <v>PERALATAN</v>
          </cell>
        </row>
        <row r="881">
          <cell r="L881" t="str">
            <v>1.</v>
          </cell>
          <cell r="N881" t="str">
            <v>Wheel  Loader</v>
          </cell>
          <cell r="O881" t="str">
            <v>(E15)</v>
          </cell>
          <cell r="P881" t="str">
            <v>Jam</v>
          </cell>
          <cell r="Q881">
            <v>1.7849174475680497E-2</v>
          </cell>
          <cell r="R881">
            <v>419176.054034175</v>
          </cell>
          <cell r="U881">
            <v>7481.9465244832654</v>
          </cell>
        </row>
        <row r="882">
          <cell r="L882" t="str">
            <v>2.</v>
          </cell>
          <cell r="N882" t="str">
            <v>Dump Truck</v>
          </cell>
          <cell r="O882" t="str">
            <v>(E08)</v>
          </cell>
          <cell r="P882" t="str">
            <v>Jam</v>
          </cell>
          <cell r="Q882">
            <v>0.12639585401661052</v>
          </cell>
          <cell r="R882">
            <v>151455.65683461592</v>
          </cell>
          <cell r="U882">
            <v>19143.367091257973</v>
          </cell>
        </row>
        <row r="883">
          <cell r="L883" t="str">
            <v>3.</v>
          </cell>
          <cell r="N883" t="str">
            <v>Motor Grader</v>
          </cell>
          <cell r="O883" t="str">
            <v>(E13)</v>
          </cell>
          <cell r="P883" t="str">
            <v>Jam</v>
          </cell>
          <cell r="Q883">
            <v>1.1713520749665328E-2</v>
          </cell>
          <cell r="R883">
            <v>584628.18261530821</v>
          </cell>
          <cell r="U883">
            <v>6848.0543479035432</v>
          </cell>
        </row>
        <row r="884">
          <cell r="L884" t="str">
            <v>3.</v>
          </cell>
          <cell r="N884" t="str">
            <v>Vibro Roller</v>
          </cell>
          <cell r="O884" t="str">
            <v>(E19)</v>
          </cell>
          <cell r="P884" t="str">
            <v>Jam</v>
          </cell>
          <cell r="Q884">
            <v>2.1419009370816599E-2</v>
          </cell>
          <cell r="R884">
            <v>304039.30938369827</v>
          </cell>
          <cell r="U884">
            <v>6512.2208167860408</v>
          </cell>
        </row>
        <row r="885">
          <cell r="L885" t="str">
            <v>4.</v>
          </cell>
          <cell r="N885" t="str">
            <v>Water Tanker</v>
          </cell>
          <cell r="O885" t="str">
            <v>(E23)</v>
          </cell>
          <cell r="P885" t="str">
            <v>Jam</v>
          </cell>
          <cell r="Q885">
            <v>7.0281124497991983E-3</v>
          </cell>
          <cell r="R885">
            <v>168224.26064489508</v>
          </cell>
          <cell r="U885">
            <v>1182.2990205966526</v>
          </cell>
        </row>
        <row r="886">
          <cell r="L886" t="str">
            <v>5.</v>
          </cell>
          <cell r="N886" t="str">
            <v>Alat  Bantu</v>
          </cell>
          <cell r="P886" t="str">
            <v>Ls</v>
          </cell>
          <cell r="Q886">
            <v>1</v>
          </cell>
          <cell r="R886">
            <v>80</v>
          </cell>
          <cell r="U886">
            <v>80</v>
          </cell>
        </row>
        <row r="890">
          <cell r="Q890" t="str">
            <v xml:space="preserve">JUMLAH HARGA PERALATAN   </v>
          </cell>
          <cell r="U890">
            <v>41247.887801027464</v>
          </cell>
        </row>
        <row r="892">
          <cell r="L892" t="str">
            <v>D.</v>
          </cell>
          <cell r="N892" t="str">
            <v>JUMLAH HARGA TENAGA, BAHAN DAN PERALATAN  ( A + B + C )</v>
          </cell>
          <cell r="U892">
            <v>104859.85949733651</v>
          </cell>
        </row>
        <row r="893">
          <cell r="L893" t="str">
            <v>E.</v>
          </cell>
          <cell r="N893" t="str">
            <v>OVERHEAD &amp; PROFIT</v>
          </cell>
          <cell r="P893">
            <v>10</v>
          </cell>
          <cell r="Q893" t="str">
            <v>%  x  D</v>
          </cell>
          <cell r="U893">
            <v>10485.985949733651</v>
          </cell>
        </row>
        <row r="894">
          <cell r="L894" t="str">
            <v>F.</v>
          </cell>
          <cell r="N894" t="str">
            <v>HARGA SATUAN PEKERJAAN  ( D + E )</v>
          </cell>
          <cell r="U894">
            <v>115345.84544707017</v>
          </cell>
        </row>
        <row r="895">
          <cell r="L895" t="str">
            <v>Note: 1</v>
          </cell>
          <cell r="N895" t="str">
            <v>SATUAN dapat berdasarkan atas jam operasi untuk Tenaga Kerja dan Peralatan, volume dan/atau ukuran</v>
          </cell>
        </row>
        <row r="896">
          <cell r="N896" t="str">
            <v>berat untuk bahan-bahan.</v>
          </cell>
        </row>
        <row r="897">
          <cell r="L897">
            <v>2</v>
          </cell>
          <cell r="N897" t="str">
            <v>Kuantitas satuan adalah kuantitas setiap komponen untuk menyelesaikan satu satuan pekerjaan dari nomor</v>
          </cell>
        </row>
        <row r="898">
          <cell r="N898" t="str">
            <v>mata pembayaran.</v>
          </cell>
        </row>
        <row r="899">
          <cell r="L899">
            <v>3</v>
          </cell>
          <cell r="N899" t="str">
            <v>Biaya satuan untuk peralatan sudah termasuk bahan bakar, bahan habis dipakai dan operator.</v>
          </cell>
        </row>
        <row r="900">
          <cell r="L900">
            <v>4</v>
          </cell>
          <cell r="N900" t="str">
            <v>Biaya satuan sudah termasuk pengeluaran untuk seluruh pajak yang berkaitan (tetapi tidak termasuk PPN</v>
          </cell>
        </row>
        <row r="901">
          <cell r="N901" t="str">
            <v>yang dibayar dari kontrak) dan biaya-biaya lainnya.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V KLAS C"/>
      <sheetName val="Pekerjaan Utama"/>
      <sheetName val="%"/>
      <sheetName val="Kulit"/>
      <sheetName val="Rekap Biaya"/>
      <sheetName val="Kuantitas &amp; Harga"/>
      <sheetName val="sidul"/>
      <sheetName val="V penyia"/>
      <sheetName val="Marka"/>
      <sheetName val="TIMB. Pilihan"/>
      <sheetName val="V Sal."/>
      <sheetName val="Tanah Hitam"/>
      <sheetName val="V GL BIASA"/>
      <sheetName val="V GAL STRK"/>
      <sheetName val="TIMB. BIASA"/>
      <sheetName val="V KLAS C "/>
      <sheetName val="V KLAS A"/>
      <sheetName val="V PENGIKAT"/>
      <sheetName val="V AC - WC (2)"/>
      <sheetName val="V BTN BRTLG "/>
      <sheetName val="V BESI"/>
      <sheetName val="V pas batu "/>
      <sheetName val="V TROTOAR"/>
      <sheetName val="V KERB"/>
      <sheetName val="Cat Minyak"/>
      <sheetName val="Plasteran"/>
    </sheetNames>
    <sheetDataSet>
      <sheetData sheetId="0"/>
      <sheetData sheetId="1"/>
      <sheetData sheetId="2"/>
      <sheetData sheetId="3"/>
      <sheetData sheetId="4"/>
      <sheetData sheetId="5">
        <row r="27">
          <cell r="G27">
            <v>13779500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Rekapitulasi"/>
      <sheetName val="ANALISA"/>
      <sheetName val="HSAlat"/>
      <sheetName val="HSPekerja"/>
      <sheetName val="HSBahan"/>
      <sheetName val="hps"/>
      <sheetName val="hps ksng"/>
      <sheetName val="buoy"/>
      <sheetName val="Rekapksng"/>
      <sheetName val="pabrik"/>
      <sheetName val="sub"/>
      <sheetName val="Anlksg"/>
    </sheetNames>
    <sheetDataSet>
      <sheetData sheetId="0" refreshError="1"/>
      <sheetData sheetId="1">
        <row r="53">
          <cell r="H53">
            <v>474690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KH_Q1_Q2_01"/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Btg Dipakai"/>
      <sheetName val="Dermaga"/>
      <sheetName val="Causeway"/>
      <sheetName val="Talud"/>
      <sheetName val="Gudang"/>
      <sheetName val="Kantor"/>
      <sheetName val="Gerbang"/>
      <sheetName val="Pos"/>
      <sheetName val="Elektrikal"/>
      <sheetName val="Air KeKapal"/>
      <sheetName val="Tangki Air"/>
      <sheetName val="Rumah Genset"/>
      <sheetName val="R Dinas"/>
      <sheetName val="Sheet1"/>
      <sheetName val="Btg Awal"/>
      <sheetName val="Rekapitul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08">
          <cell r="L408">
            <v>5316362528.5045719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>
        <row r="16">
          <cell r="N16">
            <v>759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REKAP ADD.01"/>
      <sheetName val="P.Bdn Jalan"/>
      <sheetName val="Rekap P.Bdn jalan"/>
      <sheetName val="Timbunan Pilihan"/>
      <sheetName val="REK . Timbunan Pilihan"/>
      <sheetName val="Aggregat Kls A"/>
      <sheetName val="Rekap Kls A"/>
      <sheetName val="PRIME"/>
      <sheetName val="REK PRIME"/>
      <sheetName val="Kelas S"/>
      <sheetName val="Rek Kelas S"/>
      <sheetName val="GORONG2 (2)"/>
      <sheetName val="Rekap Gorong2"/>
      <sheetName val="Galian Sal Drainase"/>
      <sheetName val="Rekap Sal Drainase"/>
      <sheetName val="Mortar"/>
      <sheetName val="Rekap Mortar"/>
      <sheetName val="Pas Batu"/>
      <sheetName val="Rekap Pas Batu"/>
      <sheetName val="K-200"/>
      <sheetName val="Rekap K-200"/>
      <sheetName val="Bronjong"/>
      <sheetName val="Rekap Bronjong"/>
      <sheetName val="Timbunan Biasa"/>
      <sheetName val="Rekap Tim Biasa"/>
      <sheetName val="INFORMASI KEGIATAN"/>
    </sheetNames>
    <sheetDataSet>
      <sheetData sheetId="0">
        <row r="17">
          <cell r="F17">
            <v>1</v>
          </cell>
        </row>
        <row r="18">
          <cell r="F18">
            <v>1</v>
          </cell>
        </row>
        <row r="20">
          <cell r="F20">
            <v>650</v>
          </cell>
          <cell r="H20">
            <v>0.33102320067632801</v>
          </cell>
          <cell r="I20">
            <v>2178.9</v>
          </cell>
        </row>
        <row r="24">
          <cell r="F24">
            <v>12500.1</v>
          </cell>
          <cell r="H24">
            <v>5.3619227285984881</v>
          </cell>
          <cell r="I24">
            <v>8813.67</v>
          </cell>
        </row>
        <row r="25">
          <cell r="F25">
            <v>25</v>
          </cell>
          <cell r="H25">
            <v>6.9664621157933912E-2</v>
          </cell>
          <cell r="I25">
            <v>1</v>
          </cell>
        </row>
        <row r="26">
          <cell r="F26">
            <v>6500</v>
          </cell>
          <cell r="H26">
            <v>2.4871601607481848</v>
          </cell>
          <cell r="I26">
            <v>4106.25</v>
          </cell>
        </row>
        <row r="27">
          <cell r="F27">
            <v>7020</v>
          </cell>
          <cell r="H27">
            <v>11.524704010925104</v>
          </cell>
          <cell r="I27">
            <v>7056</v>
          </cell>
        </row>
        <row r="28">
          <cell r="F28">
            <v>18000</v>
          </cell>
          <cell r="I28">
            <v>25220</v>
          </cell>
          <cell r="K28">
            <v>0.30405373005259551</v>
          </cell>
        </row>
        <row r="30">
          <cell r="F30">
            <v>405</v>
          </cell>
          <cell r="H30">
            <v>1.5382583823502829</v>
          </cell>
          <cell r="I30">
            <v>2460</v>
          </cell>
        </row>
        <row r="32">
          <cell r="F32">
            <v>3680</v>
          </cell>
          <cell r="H32">
            <v>17.256602904276992</v>
          </cell>
          <cell r="I32">
            <v>4559</v>
          </cell>
        </row>
        <row r="34">
          <cell r="F34">
            <v>9000</v>
          </cell>
          <cell r="H34">
            <v>1.208452912741542</v>
          </cell>
          <cell r="I34">
            <v>24007.500000000004</v>
          </cell>
        </row>
        <row r="35">
          <cell r="F35">
            <v>2070</v>
          </cell>
          <cell r="H35">
            <v>25.965748591358956</v>
          </cell>
          <cell r="I35">
            <v>2485.06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7">
          <cell r="G47">
            <v>20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>
        <row r="24">
          <cell r="R24">
            <v>450.00000000000006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erbilang"/>
      <sheetName val="Rekap Biaya"/>
      <sheetName val="daftar kuantitas"/>
      <sheetName val="MPU"/>
      <sheetName val="Analisa Mob"/>
      <sheetName val="Analisa Harga"/>
      <sheetName val="Sheet1"/>
      <sheetName val="Basic Price"/>
      <sheetName val="Peralatan"/>
      <sheetName val="Analisa Quarry"/>
      <sheetName val="Agrt"/>
      <sheetName val="Informasi"/>
      <sheetName val="TS"/>
      <sheetName val="TS Alt"/>
      <sheetName val="TS Mat"/>
      <sheetName val="TS pERSONEL"/>
      <sheetName val="L.12"/>
      <sheetName val="L.13"/>
      <sheetName val="L.14"/>
      <sheetName val="TK.1"/>
      <sheetName val="TK.2"/>
    </sheetNames>
    <sheetDataSet>
      <sheetData sheetId="0" refreshError="1"/>
      <sheetData sheetId="1">
        <row r="27">
          <cell r="H27">
            <v>12540382599.02808</v>
          </cell>
        </row>
      </sheetData>
      <sheetData sheetId="2">
        <row r="20">
          <cell r="G20">
            <v>50620000</v>
          </cell>
        </row>
        <row r="28">
          <cell r="G28">
            <v>4658115988.0333691</v>
          </cell>
        </row>
        <row r="35">
          <cell r="G35">
            <v>139181758.02573732</v>
          </cell>
        </row>
        <row r="48">
          <cell r="G48">
            <v>140925243.02959484</v>
          </cell>
        </row>
        <row r="55">
          <cell r="G55">
            <v>980523814.40559661</v>
          </cell>
        </row>
        <row r="64">
          <cell r="G64">
            <v>0</v>
          </cell>
        </row>
        <row r="73">
          <cell r="G73">
            <v>6571015795.533783</v>
          </cell>
        </row>
      </sheetData>
      <sheetData sheetId="3" refreshError="1"/>
      <sheetData sheetId="4" refreshError="1"/>
      <sheetData sheetId="5"/>
      <sheetData sheetId="6" refreshError="1"/>
      <sheetData sheetId="7">
        <row r="8">
          <cell r="F8">
            <v>6428.5714285714284</v>
          </cell>
        </row>
        <row r="12">
          <cell r="F12">
            <v>10000</v>
          </cell>
        </row>
        <row r="14">
          <cell r="F14">
            <v>8571.4285714285706</v>
          </cell>
        </row>
        <row r="16">
          <cell r="F16">
            <v>21428.571428571428</v>
          </cell>
        </row>
        <row r="18">
          <cell r="F18">
            <v>8571.4285714285706</v>
          </cell>
        </row>
        <row r="20">
          <cell r="F20">
            <v>14285.714285714286</v>
          </cell>
        </row>
        <row r="40">
          <cell r="F40">
            <v>60600</v>
          </cell>
        </row>
        <row r="42">
          <cell r="F42">
            <v>60700</v>
          </cell>
        </row>
        <row r="44">
          <cell r="F44">
            <v>83579.295528133138</v>
          </cell>
        </row>
        <row r="56">
          <cell r="F56">
            <v>40000</v>
          </cell>
        </row>
        <row r="66">
          <cell r="F66">
            <v>16000</v>
          </cell>
        </row>
        <row r="74">
          <cell r="F74">
            <v>17500</v>
          </cell>
        </row>
        <row r="84">
          <cell r="F84">
            <v>1700000</v>
          </cell>
        </row>
        <row r="86">
          <cell r="F86">
            <v>4500</v>
          </cell>
        </row>
        <row r="88">
          <cell r="F88">
            <v>4500</v>
          </cell>
        </row>
        <row r="90">
          <cell r="F90">
            <v>12000</v>
          </cell>
        </row>
        <row r="132">
          <cell r="F132">
            <v>12750</v>
          </cell>
        </row>
      </sheetData>
      <sheetData sheetId="8">
        <row r="26">
          <cell r="BO26" t="str">
            <v xml:space="preserve"> Usia 5 th.</v>
          </cell>
        </row>
        <row r="27">
          <cell r="BO27">
            <v>818181818.18181801</v>
          </cell>
        </row>
        <row r="46">
          <cell r="BO46" t="str">
            <v xml:space="preserve"> Alat Baru</v>
          </cell>
        </row>
        <row r="47">
          <cell r="BO47">
            <v>1800000000</v>
          </cell>
        </row>
        <row r="75">
          <cell r="BO75" t="str">
            <v xml:space="preserve"> Alat Baru</v>
          </cell>
        </row>
        <row r="76">
          <cell r="BO76">
            <v>135000000</v>
          </cell>
        </row>
        <row r="95">
          <cell r="BO95" t="str">
            <v xml:space="preserve"> Usia 3 th.</v>
          </cell>
        </row>
        <row r="96">
          <cell r="BO96">
            <v>315425000</v>
          </cell>
        </row>
        <row r="115">
          <cell r="BO115" t="str">
            <v xml:space="preserve"> Alat Baru</v>
          </cell>
        </row>
        <row r="116">
          <cell r="BO116">
            <v>132000000</v>
          </cell>
        </row>
        <row r="135">
          <cell r="BO135" t="str">
            <v xml:space="preserve"> Usia 1 th.</v>
          </cell>
        </row>
        <row r="136">
          <cell r="BO136">
            <v>4250000</v>
          </cell>
        </row>
        <row r="155">
          <cell r="BO155" t="str">
            <v xml:space="preserve"> Alat Baru</v>
          </cell>
        </row>
        <row r="156">
          <cell r="BO156">
            <v>699334360</v>
          </cell>
        </row>
        <row r="175">
          <cell r="BO175" t="str">
            <v xml:space="preserve"> Usia 3 th.</v>
          </cell>
        </row>
        <row r="176">
          <cell r="BO176">
            <v>50000000</v>
          </cell>
        </row>
        <row r="195">
          <cell r="BO195" t="str">
            <v xml:space="preserve"> Usia 3 th.</v>
          </cell>
        </row>
        <row r="196">
          <cell r="BO196">
            <v>130000000</v>
          </cell>
        </row>
        <row r="215">
          <cell r="BO215" t="str">
            <v xml:space="preserve"> Usia 3 th.</v>
          </cell>
        </row>
        <row r="216">
          <cell r="BO216">
            <v>236000000</v>
          </cell>
        </row>
        <row r="235">
          <cell r="BO235" t="str">
            <v xml:space="preserve"> Alat Baru</v>
          </cell>
        </row>
        <row r="236">
          <cell r="BO236">
            <v>150000000</v>
          </cell>
        </row>
        <row r="255">
          <cell r="BO255" t="str">
            <v xml:space="preserve"> Alat Baru</v>
          </cell>
        </row>
        <row r="256">
          <cell r="BO256">
            <v>63995800</v>
          </cell>
        </row>
        <row r="275">
          <cell r="BO275" t="str">
            <v xml:space="preserve"> Alat Baru</v>
          </cell>
        </row>
        <row r="276">
          <cell r="BO276">
            <v>2000000000</v>
          </cell>
        </row>
        <row r="295">
          <cell r="BO295" t="str">
            <v xml:space="preserve"> Alat Baru</v>
          </cell>
        </row>
        <row r="296">
          <cell r="BO296">
            <v>571725000</v>
          </cell>
        </row>
        <row r="315">
          <cell r="BO315" t="str">
            <v xml:space="preserve"> Usia 3 th.</v>
          </cell>
        </row>
        <row r="316">
          <cell r="BO316">
            <v>240451200</v>
          </cell>
        </row>
        <row r="335">
          <cell r="BO335" t="str">
            <v xml:space="preserve"> Alat Baru</v>
          </cell>
        </row>
        <row r="336">
          <cell r="BO336">
            <v>404059850</v>
          </cell>
        </row>
        <row r="355">
          <cell r="BO355" t="str">
            <v xml:space="preserve"> Usia 2 th.</v>
          </cell>
        </row>
        <row r="356">
          <cell r="BO356">
            <v>408000000</v>
          </cell>
        </row>
        <row r="375">
          <cell r="BO375" t="str">
            <v xml:space="preserve"> Alat Baru</v>
          </cell>
        </row>
        <row r="376">
          <cell r="BO376">
            <v>1020000000</v>
          </cell>
        </row>
        <row r="395">
          <cell r="BO395" t="str">
            <v xml:space="preserve"> Alat Baru</v>
          </cell>
        </row>
        <row r="396">
          <cell r="BO396">
            <v>896610000</v>
          </cell>
        </row>
        <row r="415">
          <cell r="BO415" t="str">
            <v xml:space="preserve"> Usia 2 th.</v>
          </cell>
        </row>
        <row r="416">
          <cell r="BO416">
            <v>2402985</v>
          </cell>
        </row>
        <row r="435">
          <cell r="BO435" t="str">
            <v xml:space="preserve"> Usia 3 th.</v>
          </cell>
        </row>
        <row r="436">
          <cell r="BO436">
            <v>240000000</v>
          </cell>
        </row>
        <row r="455">
          <cell r="BO455" t="str">
            <v xml:space="preserve"> Alat Baru</v>
          </cell>
        </row>
        <row r="456">
          <cell r="BO456">
            <v>4950000</v>
          </cell>
        </row>
        <row r="475">
          <cell r="BO475" t="str">
            <v xml:space="preserve"> Alat Baru</v>
          </cell>
        </row>
        <row r="476">
          <cell r="BO476">
            <v>231011350</v>
          </cell>
        </row>
        <row r="495">
          <cell r="BO495" t="str">
            <v xml:space="preserve"> Alat Baru</v>
          </cell>
        </row>
        <row r="496">
          <cell r="BO496">
            <v>39271900</v>
          </cell>
        </row>
        <row r="515">
          <cell r="BO515" t="str">
            <v xml:space="preserve"> Usia 2 th.</v>
          </cell>
        </row>
        <row r="516">
          <cell r="BO516">
            <v>5808000</v>
          </cell>
        </row>
        <row r="535">
          <cell r="BO535" t="str">
            <v xml:space="preserve"> Alat Baru</v>
          </cell>
        </row>
        <row r="536">
          <cell r="BO536">
            <v>27721362</v>
          </cell>
        </row>
        <row r="555">
          <cell r="BO555" t="str">
            <v xml:space="preserve"> Alat Baru</v>
          </cell>
        </row>
        <row r="556">
          <cell r="BO556">
            <v>101200000</v>
          </cell>
        </row>
        <row r="575">
          <cell r="BO575" t="str">
            <v xml:space="preserve"> Alat Baru</v>
          </cell>
        </row>
        <row r="576">
          <cell r="BO576">
            <v>383625000</v>
          </cell>
        </row>
        <row r="595">
          <cell r="BO595" t="str">
            <v xml:space="preserve"> Alat Baru</v>
          </cell>
        </row>
        <row r="596">
          <cell r="BO596">
            <v>566912500</v>
          </cell>
        </row>
        <row r="615">
          <cell r="BO615" t="str">
            <v xml:space="preserve"> Alat Baru</v>
          </cell>
        </row>
        <row r="616">
          <cell r="BO616">
            <v>238700000</v>
          </cell>
        </row>
        <row r="635">
          <cell r="BO635" t="str">
            <v xml:space="preserve"> Alat Baru</v>
          </cell>
        </row>
        <row r="636">
          <cell r="BO636">
            <v>1155000000</v>
          </cell>
        </row>
        <row r="655">
          <cell r="BO655" t="str">
            <v xml:space="preserve"> Alat Baru</v>
          </cell>
        </row>
        <row r="656">
          <cell r="BO656">
            <v>38500000</v>
          </cell>
        </row>
        <row r="675">
          <cell r="BO675" t="str">
            <v xml:space="preserve"> Alat Baru</v>
          </cell>
        </row>
        <row r="676">
          <cell r="BO676">
            <v>3300000000</v>
          </cell>
        </row>
        <row r="706">
          <cell r="BO706" t="str">
            <v xml:space="preserve"> Alat Baru</v>
          </cell>
        </row>
        <row r="707">
          <cell r="BO707">
            <v>33000000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">
          <cell r="A4" t="str">
            <v xml:space="preserve"> Nama Penawar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Data Base"/>
      <sheetName val="Agg&amp;Aspal Timur"/>
      <sheetName val="Agg Barat"/>
      <sheetName val="Harga Dasar Lubuk"/>
      <sheetName val="Harga Dasar Barat"/>
      <sheetName val="ALAT"/>
      <sheetName val="PERSONIL"/>
      <sheetName val="Sheet2"/>
    </sheetNames>
    <sheetDataSet>
      <sheetData sheetId="0" refreshError="1"/>
      <sheetData sheetId="1" refreshError="1"/>
      <sheetData sheetId="2" refreshError="1">
        <row r="21">
          <cell r="C21">
            <v>62842.857142857145</v>
          </cell>
        </row>
      </sheetData>
      <sheetData sheetId="3" refreshError="1"/>
      <sheetData sheetId="4" refreshError="1">
        <row r="73">
          <cell r="J73">
            <v>779307.24867724872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RAP"/>
      <sheetName val="Budget Summary"/>
      <sheetName val="Budget Details"/>
      <sheetName val="Budget"/>
      <sheetName val="BOQ"/>
    </sheetNames>
    <sheetDataSet>
      <sheetData sheetId="0" refreshError="1"/>
      <sheetData sheetId="1" refreshError="1"/>
      <sheetData sheetId="2" refreshError="1"/>
      <sheetData sheetId="3" refreshError="1">
        <row r="14">
          <cell r="G14">
            <v>1200000</v>
          </cell>
        </row>
        <row r="21">
          <cell r="G21">
            <v>200000</v>
          </cell>
        </row>
        <row r="22">
          <cell r="G22">
            <v>500000</v>
          </cell>
        </row>
        <row r="168">
          <cell r="G168">
            <v>8400000</v>
          </cell>
        </row>
        <row r="187">
          <cell r="G187">
            <v>11000000</v>
          </cell>
        </row>
      </sheetData>
      <sheetData sheetId="4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Budget Summary"/>
      <sheetName val="Budget Details"/>
      <sheetName val="TS alat"/>
      <sheetName val="MC-FINAL VENDE ALT 1"/>
      <sheetName val="TS"/>
      <sheetName val="Budget"/>
      <sheetName val="RAP"/>
      <sheetName val="KUANTYTAS"/>
      <sheetName val="KUANTYTAS (2)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C3" t="str">
            <v>: PPK-08 Pelaksanaan Preservasi dan Peningkatan Kapasitas Jalan dan Jembatan Nasional Lubuk Sikaping dan Sekitarnya</v>
          </cell>
        </row>
        <row r="5">
          <cell r="C5" t="str">
            <v xml:space="preserve">: KAB.PASAMAN 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REK.RAP"/>
      <sheetName val="Kuantitas &amp; Harga"/>
      <sheetName val="BAHAN"/>
      <sheetName val="UPAH"/>
      <sheetName val="PERSONIL"/>
      <sheetName val="BBM ALAT"/>
      <sheetName val="ADMINISTRASI"/>
      <sheetName val="PERALATAN"/>
      <sheetName val="MOB-ALAT"/>
      <sheetName val="MOB-MATERIAL"/>
      <sheetName val="PAJAK"/>
    </sheetNames>
    <sheetDataSet>
      <sheetData sheetId="0">
        <row r="4">
          <cell r="A4" t="str">
            <v>KEGIATAN</v>
          </cell>
          <cell r="E4" t="str">
            <v>Pembangunan Jalan Provinsi dan Strategis di Wilayah Kab. Pasaman dan Kab. Pasaman Barat</v>
          </cell>
        </row>
        <row r="5">
          <cell r="A5" t="str">
            <v>PAKET</v>
          </cell>
          <cell r="E5" t="str">
            <v>Pembangunan Jalan Lubuk Sikaping - Talu (SP.157)</v>
          </cell>
        </row>
        <row r="6">
          <cell r="A6" t="str">
            <v>Prop</v>
          </cell>
          <cell r="E6" t="str">
            <v xml:space="preserve">Sumatera Barat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KAB"/>
      <sheetName val="SUDIRMAN"/>
      <sheetName val="Sheet1"/>
      <sheetName val="ANAL LIST"/>
      <sheetName val="ANALISA SIPIL"/>
      <sheetName val="BAHAN"/>
      <sheetName val="VOLUME"/>
      <sheetName val="TIME SCHEDULLE"/>
      <sheetName val="ANALISA ASPAL"/>
      <sheetName val="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6">
          <cell r="BO26" t="str">
            <v xml:space="preserve"> Alat Baru</v>
          </cell>
        </row>
        <row r="27">
          <cell r="BO27">
            <v>2700000000</v>
          </cell>
        </row>
        <row r="46">
          <cell r="BO46" t="str">
            <v xml:space="preserve"> Alat Baru</v>
          </cell>
        </row>
        <row r="47">
          <cell r="BO47">
            <v>2000000000</v>
          </cell>
        </row>
        <row r="66">
          <cell r="BO66" t="str">
            <v xml:space="preserve"> Alat Baru</v>
          </cell>
        </row>
        <row r="67">
          <cell r="BO67">
            <v>55000000</v>
          </cell>
        </row>
        <row r="86">
          <cell r="BO86" t="str">
            <v xml:space="preserve"> Alat Baru</v>
          </cell>
        </row>
        <row r="87">
          <cell r="BO87">
            <v>1060875000</v>
          </cell>
        </row>
        <row r="106">
          <cell r="BO106" t="str">
            <v xml:space="preserve"> Alat Baru</v>
          </cell>
        </row>
        <row r="107">
          <cell r="BO107">
            <v>40000000</v>
          </cell>
        </row>
        <row r="126">
          <cell r="BO126" t="str">
            <v xml:space="preserve"> Alat Baru</v>
          </cell>
        </row>
        <row r="127">
          <cell r="BO127">
            <v>18150000</v>
          </cell>
        </row>
        <row r="146">
          <cell r="BO146" t="str">
            <v xml:space="preserve"> Alat Baru</v>
          </cell>
        </row>
        <row r="147">
          <cell r="BO147">
            <v>1100000000</v>
          </cell>
        </row>
        <row r="166">
          <cell r="BO166" t="str">
            <v xml:space="preserve"> Alat Baru</v>
          </cell>
        </row>
        <row r="167">
          <cell r="BO167">
            <v>181500000</v>
          </cell>
        </row>
        <row r="186">
          <cell r="BO186" t="str">
            <v xml:space="preserve"> Alat Baru</v>
          </cell>
        </row>
        <row r="187">
          <cell r="BO187">
            <v>214500000</v>
          </cell>
        </row>
        <row r="206">
          <cell r="BO206" t="str">
            <v xml:space="preserve"> Alat Baru</v>
          </cell>
        </row>
        <row r="207">
          <cell r="BO207">
            <v>1100000000</v>
          </cell>
        </row>
        <row r="226">
          <cell r="BO226" t="str">
            <v xml:space="preserve"> Alat Baru</v>
          </cell>
        </row>
        <row r="227">
          <cell r="BO227">
            <v>128150000</v>
          </cell>
        </row>
        <row r="246">
          <cell r="BO246" t="str">
            <v xml:space="preserve"> Alat Baru</v>
          </cell>
        </row>
        <row r="247">
          <cell r="BO247">
            <v>185000000</v>
          </cell>
        </row>
        <row r="266">
          <cell r="BO266" t="str">
            <v xml:space="preserve"> Alat Baru</v>
          </cell>
        </row>
        <row r="267">
          <cell r="BO267">
            <v>1375000000</v>
          </cell>
        </row>
        <row r="286">
          <cell r="BO286" t="str">
            <v xml:space="preserve"> Alat Baru</v>
          </cell>
        </row>
        <row r="287">
          <cell r="BO287">
            <v>189000000</v>
          </cell>
        </row>
        <row r="306">
          <cell r="BO306" t="str">
            <v xml:space="preserve"> Alat Baru</v>
          </cell>
        </row>
        <row r="307">
          <cell r="BO307">
            <v>957000000</v>
          </cell>
        </row>
        <row r="326">
          <cell r="BO326" t="str">
            <v xml:space="preserve"> Alat Baru</v>
          </cell>
        </row>
        <row r="327">
          <cell r="BO327">
            <v>869000000</v>
          </cell>
        </row>
        <row r="346">
          <cell r="BO346" t="str">
            <v xml:space="preserve"> Alat Baru</v>
          </cell>
        </row>
        <row r="347">
          <cell r="BO347">
            <v>924550000</v>
          </cell>
        </row>
        <row r="366">
          <cell r="BO366" t="str">
            <v xml:space="preserve"> Alat Baru</v>
          </cell>
        </row>
        <row r="367">
          <cell r="BO367">
            <v>1210000000</v>
          </cell>
        </row>
        <row r="386">
          <cell r="BO386" t="str">
            <v xml:space="preserve"> Alat Baru</v>
          </cell>
        </row>
        <row r="387">
          <cell r="BO387">
            <v>886050000</v>
          </cell>
        </row>
        <row r="406">
          <cell r="BO406" t="str">
            <v xml:space="preserve"> Alat Baru</v>
          </cell>
        </row>
        <row r="407">
          <cell r="BO407">
            <v>24750000</v>
          </cell>
        </row>
        <row r="426">
          <cell r="BO426" t="str">
            <v xml:space="preserve"> Alat Baru</v>
          </cell>
        </row>
        <row r="427">
          <cell r="BO427">
            <v>1650000000</v>
          </cell>
        </row>
        <row r="446">
          <cell r="BO446" t="str">
            <v xml:space="preserve"> Alat Baru</v>
          </cell>
        </row>
        <row r="447">
          <cell r="BO447">
            <v>21450000</v>
          </cell>
        </row>
        <row r="466">
          <cell r="BO466" t="str">
            <v xml:space="preserve"> Alat Baru</v>
          </cell>
        </row>
        <row r="467">
          <cell r="BO467">
            <v>211200000</v>
          </cell>
        </row>
        <row r="486">
          <cell r="BO486" t="str">
            <v xml:space="preserve"> Alat Baru</v>
          </cell>
        </row>
        <row r="487">
          <cell r="BO487">
            <v>618500000</v>
          </cell>
        </row>
        <row r="506">
          <cell r="BO506" t="str">
            <v xml:space="preserve"> Alat Baru</v>
          </cell>
        </row>
        <row r="507">
          <cell r="BO507">
            <v>14060000</v>
          </cell>
        </row>
        <row r="526">
          <cell r="BO526" t="str">
            <v xml:space="preserve"> Alat Baru</v>
          </cell>
        </row>
        <row r="527">
          <cell r="BO527">
            <v>33500000</v>
          </cell>
        </row>
        <row r="546">
          <cell r="BO546" t="str">
            <v xml:space="preserve"> Alat Baru</v>
          </cell>
        </row>
        <row r="547">
          <cell r="BO547">
            <v>46000000</v>
          </cell>
        </row>
        <row r="566">
          <cell r="BO566" t="str">
            <v xml:space="preserve"> Alat Baru</v>
          </cell>
        </row>
        <row r="567">
          <cell r="BO567">
            <v>182500000</v>
          </cell>
        </row>
        <row r="586">
          <cell r="BO586" t="str">
            <v xml:space="preserve"> Alat Baru</v>
          </cell>
        </row>
        <row r="587">
          <cell r="BO587">
            <v>266250000</v>
          </cell>
        </row>
        <row r="606">
          <cell r="BO606" t="str">
            <v xml:space="preserve"> Alat Baru</v>
          </cell>
        </row>
        <row r="607">
          <cell r="BO607">
            <v>170000000</v>
          </cell>
        </row>
        <row r="626">
          <cell r="BO626" t="str">
            <v xml:space="preserve"> Alat Baru</v>
          </cell>
        </row>
        <row r="627">
          <cell r="BO627">
            <v>350000000</v>
          </cell>
        </row>
        <row r="646">
          <cell r="BO646" t="str">
            <v xml:space="preserve"> Alat Baru</v>
          </cell>
        </row>
        <row r="647">
          <cell r="BO647">
            <v>17500000</v>
          </cell>
        </row>
        <row r="666">
          <cell r="BO666" t="str">
            <v xml:space="preserve"> Alat Baru</v>
          </cell>
        </row>
        <row r="667">
          <cell r="BO667">
            <v>2250000000</v>
          </cell>
        </row>
        <row r="697">
          <cell r="BO697" t="str">
            <v xml:space="preserve"> Alat Baru</v>
          </cell>
        </row>
        <row r="698">
          <cell r="BO698">
            <v>15000000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eralatan"/>
      <sheetName val="Peralatan (2)"/>
      <sheetName val="5-ALAT"/>
      <sheetName val="5-ALAT.xls"/>
      <sheetName val="Sheet2"/>
    </sheetNames>
    <sheetDataSet>
      <sheetData sheetId="0">
        <row r="15">
          <cell r="AW15">
            <v>190992.71662008169</v>
          </cell>
        </row>
      </sheetData>
      <sheetData sheetId="1">
        <row r="8">
          <cell r="G8" t="str">
            <v>TRAILLER 15 TON</v>
          </cell>
        </row>
        <row r="26">
          <cell r="R26" t="str">
            <v xml:space="preserve"> Alat Baru</v>
          </cell>
        </row>
        <row r="27">
          <cell r="R27">
            <v>115000000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TONGKE3p "/>
      <sheetName val="DON GIA"/>
      <sheetName val="TONG HOP VL_NC"/>
      <sheetName val="TNHCHINH"/>
      <sheetName val="CHITIET VL_NC_TT _1p"/>
      <sheetName val="phuluc1"/>
      <sheetName val="TONG HOP VL_NC TT"/>
      <sheetName val="_REF"/>
      <sheetName val="chitiet"/>
      <sheetName val="CHITIET VL_NC"/>
      <sheetName val="THPDMoi  _2_"/>
      <sheetName val="t_h HA THE"/>
      <sheetName val="giathanh1"/>
      <sheetName val="TONGKE_HT"/>
      <sheetName val="LKVL_CK_HT_GD1"/>
      <sheetName val="TH VL_ NC_ DDHT Thanhphuoc"/>
      <sheetName val="dongia _2_"/>
      <sheetName val="DG"/>
      <sheetName val="DONGIA"/>
      <sheetName val="chitimc"/>
      <sheetName val="dtxl"/>
      <sheetName val="gtrinh"/>
      <sheetName val="lam_moi"/>
      <sheetName val="TH XL"/>
      <sheetName val="thao_g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ekerjaan Utama"/>
      <sheetName val="%"/>
      <sheetName val="Rekap Biaya Ruas I"/>
      <sheetName val="Kuantitas &amp; Harga ruas I"/>
      <sheetName val="Rekap Biaya ksg"/>
      <sheetName val="sidul BARU KOSNG"/>
      <sheetName val="sidul BARU"/>
      <sheetName val="sidul"/>
      <sheetName val="Rekap Biaya rencana"/>
      <sheetName val="Rekap Biaya (gabungan)"/>
      <sheetName val="Kuantitas &amp; Harga gabungan"/>
      <sheetName val="Rekap Biaya (gabungan) (2)"/>
      <sheetName val="Kuantitas &amp; Harga (COBA-COBA)"/>
      <sheetName val="Rekap Biaya ruas II"/>
      <sheetName val="Kuantitas &amp; Harga ruas II"/>
      <sheetName val="TULANGAN"/>
      <sheetName val="BETON K250"/>
      <sheetName val="PAS. BATU (div 3) OKE"/>
      <sheetName val="TIMBUNAN DIV 3 OKE"/>
      <sheetName val="gln struk. (DIV III) OKE"/>
      <sheetName val="Beton K250 untuk Trotoar (2)"/>
      <sheetName val="Tulangan "/>
      <sheetName val="Tulangan 2"/>
      <sheetName val="PENUTUP SALURAN"/>
      <sheetName val="PASANGAN KERAMIK"/>
      <sheetName val="KORAL SIKAT"/>
      <sheetName val="BETON K125"/>
      <sheetName val="Tulangan D10"/>
      <sheetName val="RUMPUT"/>
      <sheetName val="HUMUS"/>
      <sheetName val="AGREGAT A"/>
      <sheetName val="AGREGAT B"/>
      <sheetName val="L.POND SIRTU (DIV 5)"/>
      <sheetName val="PAS GRIL"/>
      <sheetName val="TECH COAT (DIV 6)"/>
      <sheetName val="AC-WC (DIV 6)"/>
      <sheetName val="AC-BC"/>
      <sheetName val="V PAS. BATU (DIV 7) OKE"/>
      <sheetName val="Rekap Biaya (COBA-COBA)"/>
      <sheetName val="Beton K250 untuk Trotoar"/>
      <sheetName val="Beton K250 Untuk Diatas Trotoar"/>
      <sheetName val="kreeb"/>
      <sheetName val="V GAL STRK"/>
      <sheetName val="V PENYIAPAN"/>
      <sheetName val="V RAMBAH"/>
      <sheetName val="V. SALURAN"/>
      <sheetName val="TIMB. Pilihan"/>
      <sheetName val="V Gal. Sal."/>
      <sheetName val="sidul (2)"/>
      <sheetName val="POHON"/>
      <sheetName val="LAMPU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0">
          <cell r="G20">
            <v>0</v>
          </cell>
        </row>
        <row r="27">
          <cell r="G27">
            <v>1174109694.7005</v>
          </cell>
        </row>
        <row r="38">
          <cell r="G38">
            <v>196939766.21430004</v>
          </cell>
        </row>
        <row r="51">
          <cell r="G51">
            <v>65190000</v>
          </cell>
        </row>
        <row r="58">
          <cell r="G58">
            <v>0</v>
          </cell>
        </row>
        <row r="67">
          <cell r="G67">
            <v>0</v>
          </cell>
        </row>
        <row r="78">
          <cell r="G78">
            <v>1498101962.5621002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eralatan"/>
      <sheetName val="Peralatan (2)"/>
    </sheetNames>
    <sheetDataSet>
      <sheetData sheetId="0"/>
      <sheetData sheetId="1">
        <row r="26">
          <cell r="R26" t="str">
            <v xml:space="preserve"> Alat Baru</v>
          </cell>
        </row>
        <row r="27">
          <cell r="R27">
            <v>115000000</v>
          </cell>
        </row>
      </sheetData>
    </sheetDataSet>
  </externalBook>
</externalLink>
</file>

<file path=xl/tables/table1.xml><?xml version="1.0" encoding="utf-8"?>
<table xmlns="http://schemas.openxmlformats.org/spreadsheetml/2006/main" id="1" name="BudgetDetails" displayName="BudgetDetails" ref="B3:H38" totalsRowShown="0" headerRowDxfId="8" dataDxfId="7">
  <autoFilter ref="B3:H38"/>
  <sortState ref="B4:G38">
    <sortCondition descending="1" ref="B3:B38"/>
  </sortState>
  <tableColumns count="7">
    <tableColumn id="2" name="Description" dataDxfId="6"/>
    <tableColumn id="1" name="Category" dataDxfId="5"/>
    <tableColumn id="3" name="Biaya Lapangan_x000a_[Rp.]" dataDxfId="4">
      <calculatedColumnFormula>7500000*4.1</calculatedColumnFormula>
    </tableColumn>
    <tableColumn id="4" name="Beban Kantor_x000a_[Rp.]" dataDxfId="3"/>
    <tableColumn id="5" name="Tgl. _x000a_Mulai Pel." dataDxfId="2"/>
    <tableColumn id="6" name="Tgl. _x000a_Selesai Pel." dataDxfId="1">
      <calculatedColumnFormula>BudgetDetails[[#This Row],[Tgl. 
Mulai Pel.]]+2</calculatedColumnFormula>
    </tableColumn>
    <tableColumn id="7" name="Keterangan" dataDxfId="0"/>
  </tableColumns>
  <tableStyleInfo name="Household Budget" showFirstColumn="0" showLastColumn="0" showRowStripes="1" showColumnStripes="0"/>
  <extLst>
    <ext xmlns:x14="http://schemas.microsoft.com/office/spreadsheetml/2009/9/main" uri="{504A1905-F514-4f6f-8877-14C23A59335A}">
      <x14:table altText="Budget Expense Details" altTextSummary="List of budget expenses such as Description, Category, Project Cost, Actual Cost, Difference, and Actual Cost Ranking."/>
    </ext>
  </extLst>
</table>
</file>

<file path=xl/theme/theme1.xml><?xml version="1.0" encoding="utf-8"?>
<a:theme xmlns:a="http://schemas.openxmlformats.org/drawingml/2006/main" name="Office Theme">
  <a:themeElements>
    <a:clrScheme name="Custom 1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BACC6"/>
      </a:accent1>
      <a:accent2>
        <a:srgbClr val="4F81BD"/>
      </a:accent2>
      <a:accent3>
        <a:srgbClr val="C0504D"/>
      </a:accent3>
      <a:accent4>
        <a:srgbClr val="9BBB59"/>
      </a:accent4>
      <a:accent5>
        <a:srgbClr val="8064A2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theme="4" tint="0.59999389629810485"/>
    <pageSetUpPr autoPageBreaks="0" fitToPage="1"/>
  </sheetPr>
  <dimension ref="A1:J39"/>
  <sheetViews>
    <sheetView showGridLines="0" workbookViewId="0">
      <selection activeCell="A3" sqref="A3:H38"/>
    </sheetView>
  </sheetViews>
  <sheetFormatPr defaultColWidth="8.875" defaultRowHeight="15.75"/>
  <cols>
    <col min="1" max="1" width="6.125" style="3" customWidth="1"/>
    <col min="2" max="2" width="65.125" style="1" customWidth="1"/>
    <col min="3" max="3" width="14.875" style="1" customWidth="1"/>
    <col min="4" max="4" width="19.625" style="1" customWidth="1"/>
    <col min="5" max="5" width="18.375" style="1" customWidth="1"/>
    <col min="6" max="7" width="13.625" style="8" customWidth="1"/>
    <col min="8" max="8" width="43" customWidth="1"/>
    <col min="9" max="9" width="17.625" style="1" customWidth="1"/>
    <col min="10" max="16384" width="8.875" style="1"/>
  </cols>
  <sheetData>
    <row r="1" spans="1:10">
      <c r="H1" s="1"/>
    </row>
    <row r="2" spans="1:10">
      <c r="H2" s="1"/>
    </row>
    <row r="3" spans="1:10" ht="33" customHeight="1">
      <c r="A3" s="4" t="s">
        <v>4</v>
      </c>
      <c r="B3" s="5" t="s">
        <v>1</v>
      </c>
      <c r="C3" s="5" t="s">
        <v>0</v>
      </c>
      <c r="D3" s="5" t="s">
        <v>34</v>
      </c>
      <c r="E3" s="5" t="s">
        <v>35</v>
      </c>
      <c r="F3" s="7" t="s">
        <v>37</v>
      </c>
      <c r="G3" s="7" t="s">
        <v>36</v>
      </c>
      <c r="H3" s="5" t="s">
        <v>6</v>
      </c>
    </row>
    <row r="4" spans="1:10" ht="15.95" customHeight="1">
      <c r="A4" s="9" t="s">
        <v>25</v>
      </c>
      <c r="B4" s="10" t="s">
        <v>33</v>
      </c>
      <c r="C4" s="10"/>
      <c r="D4" s="11"/>
      <c r="E4" s="11"/>
      <c r="F4" s="12"/>
      <c r="G4" s="12"/>
      <c r="H4" s="13"/>
      <c r="J4" s="1">
        <f>70*6900</f>
        <v>483000</v>
      </c>
    </row>
    <row r="5" spans="1:10" ht="15.95" customHeight="1">
      <c r="A5" s="9">
        <v>1</v>
      </c>
      <c r="B5" s="10" t="s">
        <v>31</v>
      </c>
      <c r="C5" s="10" t="s">
        <v>26</v>
      </c>
      <c r="D5" s="11"/>
      <c r="E5" s="11">
        <f t="shared" ref="E5" si="0">7500000*4.1</f>
        <v>30749999.999999996</v>
      </c>
      <c r="F5" s="12">
        <v>42114</v>
      </c>
      <c r="G5" s="12">
        <f>BudgetDetails[[#This Row],[Tgl. 
Mulai Pel.]]+4</f>
        <v>42118</v>
      </c>
      <c r="H5" s="13" t="s">
        <v>27</v>
      </c>
    </row>
    <row r="6" spans="1:10" ht="15.95" customHeight="1">
      <c r="A6" s="9">
        <v>2</v>
      </c>
      <c r="B6" s="10" t="s">
        <v>32</v>
      </c>
      <c r="C6" s="10" t="s">
        <v>26</v>
      </c>
      <c r="D6" s="11"/>
      <c r="E6" s="11">
        <v>5000000</v>
      </c>
      <c r="F6" s="12">
        <v>42119</v>
      </c>
      <c r="G6" s="12">
        <f>BudgetDetails[[#This Row],[Tgl. 
Mulai Pel.]]</f>
        <v>42119</v>
      </c>
      <c r="H6" s="13"/>
    </row>
    <row r="7" spans="1:10" ht="15.95" customHeight="1">
      <c r="A7" s="9">
        <v>3</v>
      </c>
      <c r="B7" s="10" t="s">
        <v>28</v>
      </c>
      <c r="C7" s="10" t="s">
        <v>5</v>
      </c>
      <c r="D7" s="11">
        <v>300000</v>
      </c>
      <c r="E7" s="11"/>
      <c r="F7" s="12">
        <v>42117</v>
      </c>
      <c r="G7" s="12">
        <f>BudgetDetails[[#This Row],[Tgl. 
Mulai Pel.]]</f>
        <v>42117</v>
      </c>
      <c r="H7" s="13"/>
    </row>
    <row r="8" spans="1:10" ht="15.95" customHeight="1">
      <c r="A8" s="9">
        <v>4</v>
      </c>
      <c r="B8" s="10" t="s">
        <v>29</v>
      </c>
      <c r="C8" s="10" t="s">
        <v>5</v>
      </c>
      <c r="D8" s="11">
        <v>300000</v>
      </c>
      <c r="E8" s="11"/>
      <c r="F8" s="12">
        <v>42117</v>
      </c>
      <c r="G8" s="12">
        <f>BudgetDetails[[#This Row],[Tgl. 
Mulai Pel.]]</f>
        <v>42117</v>
      </c>
      <c r="H8" s="13"/>
    </row>
    <row r="9" spans="1:10" ht="15.95" customHeight="1">
      <c r="A9" s="9">
        <v>5</v>
      </c>
      <c r="B9" s="10" t="s">
        <v>30</v>
      </c>
      <c r="C9" s="10" t="s">
        <v>5</v>
      </c>
      <c r="D9" s="11">
        <v>300000</v>
      </c>
      <c r="E9" s="11"/>
      <c r="F9" s="12">
        <v>42116</v>
      </c>
      <c r="G9" s="12">
        <f>BudgetDetails[[#This Row],[Tgl. 
Mulai Pel.]]</f>
        <v>42116</v>
      </c>
      <c r="H9" s="13" t="s">
        <v>38</v>
      </c>
    </row>
    <row r="10" spans="1:10" ht="15.95" customHeight="1">
      <c r="A10" s="9"/>
      <c r="B10" s="10"/>
      <c r="C10" s="10"/>
      <c r="D10" s="11"/>
      <c r="E10" s="11"/>
      <c r="F10" s="12"/>
      <c r="G10" s="12"/>
      <c r="H10" s="13"/>
    </row>
    <row r="11" spans="1:10" ht="15.95" customHeight="1">
      <c r="A11" s="9" t="s">
        <v>39</v>
      </c>
      <c r="B11" s="10" t="s">
        <v>40</v>
      </c>
      <c r="C11" s="10"/>
      <c r="D11" s="11"/>
      <c r="E11" s="11"/>
      <c r="F11" s="12"/>
      <c r="G11" s="12"/>
      <c r="H11" s="13"/>
    </row>
    <row r="12" spans="1:10" ht="15.95" customHeight="1">
      <c r="A12" s="9">
        <v>1</v>
      </c>
      <c r="B12" s="10" t="s">
        <v>41</v>
      </c>
      <c r="C12" s="10" t="s">
        <v>5</v>
      </c>
      <c r="D12" s="11">
        <v>200000</v>
      </c>
      <c r="E12" s="11"/>
      <c r="F12" s="12"/>
      <c r="G12" s="12"/>
      <c r="H12" s="13"/>
    </row>
    <row r="13" spans="1:10" ht="15.95" customHeight="1">
      <c r="A13" s="9">
        <v>2</v>
      </c>
      <c r="B13" s="10" t="s">
        <v>43</v>
      </c>
      <c r="C13" s="10" t="s">
        <v>42</v>
      </c>
      <c r="D13" s="11">
        <f>450*50000</f>
        <v>22500000</v>
      </c>
      <c r="E13" s="11"/>
      <c r="F13" s="12"/>
      <c r="G13" s="12"/>
      <c r="H13" s="13" t="s">
        <v>44</v>
      </c>
      <c r="J13" s="1">
        <f>4200/10</f>
        <v>420</v>
      </c>
    </row>
    <row r="14" spans="1:10" ht="15.95" customHeight="1">
      <c r="A14" s="9">
        <v>3</v>
      </c>
      <c r="B14" s="10" t="s">
        <v>45</v>
      </c>
      <c r="C14" s="10" t="s">
        <v>2</v>
      </c>
      <c r="D14" s="11">
        <f>450*7*6900</f>
        <v>21735000</v>
      </c>
      <c r="E14" s="11"/>
      <c r="F14" s="12"/>
      <c r="G14" s="12"/>
      <c r="H14" s="13" t="s">
        <v>46</v>
      </c>
    </row>
    <row r="15" spans="1:10" ht="15.95" customHeight="1">
      <c r="A15" s="9">
        <v>4</v>
      </c>
      <c r="B15" s="10" t="s">
        <v>47</v>
      </c>
      <c r="C15" s="10"/>
      <c r="D15" s="11"/>
      <c r="E15" s="11"/>
      <c r="F15" s="12"/>
      <c r="G15" s="12"/>
      <c r="H15" s="13"/>
    </row>
    <row r="16" spans="1:10" ht="15.95" customHeight="1">
      <c r="A16" s="9"/>
      <c r="B16" s="10"/>
      <c r="C16" s="10"/>
      <c r="D16" s="11"/>
      <c r="E16" s="11"/>
      <c r="F16" s="12"/>
      <c r="G16" s="12"/>
      <c r="H16" s="13"/>
    </row>
    <row r="17" spans="1:8" ht="15.95" customHeight="1">
      <c r="A17" s="9"/>
      <c r="B17" s="10"/>
      <c r="C17" s="10"/>
      <c r="D17" s="11"/>
      <c r="E17" s="11"/>
      <c r="F17" s="12"/>
      <c r="G17" s="12"/>
      <c r="H17" s="13"/>
    </row>
    <row r="18" spans="1:8" ht="15.95" customHeight="1">
      <c r="A18" s="9"/>
      <c r="B18" s="10"/>
      <c r="C18" s="10"/>
      <c r="D18" s="11"/>
      <c r="E18" s="11"/>
      <c r="F18" s="12"/>
      <c r="G18" s="12"/>
      <c r="H18" s="13"/>
    </row>
    <row r="19" spans="1:8" ht="15.95" customHeight="1">
      <c r="A19" s="9"/>
      <c r="B19" s="10"/>
      <c r="C19" s="10"/>
      <c r="D19" s="11"/>
      <c r="E19" s="11"/>
      <c r="F19" s="12"/>
      <c r="G19" s="12"/>
      <c r="H19" s="13"/>
    </row>
    <row r="20" spans="1:8" ht="15.95" customHeight="1">
      <c r="A20" s="9"/>
      <c r="B20" s="10"/>
      <c r="C20" s="10"/>
      <c r="D20" s="11"/>
      <c r="E20" s="11"/>
      <c r="F20" s="12"/>
      <c r="G20" s="12"/>
      <c r="H20" s="13"/>
    </row>
    <row r="21" spans="1:8" ht="15.95" customHeight="1">
      <c r="A21" s="9"/>
      <c r="B21" s="10"/>
      <c r="C21" s="10"/>
      <c r="D21" s="11"/>
      <c r="E21" s="11"/>
      <c r="F21" s="12"/>
      <c r="G21" s="12"/>
      <c r="H21" s="13"/>
    </row>
    <row r="22" spans="1:8" ht="15.95" customHeight="1">
      <c r="A22" s="9"/>
      <c r="B22" s="10"/>
      <c r="C22" s="10"/>
      <c r="D22" s="11"/>
      <c r="E22" s="11"/>
      <c r="F22" s="12"/>
      <c r="G22" s="12"/>
      <c r="H22" s="13"/>
    </row>
    <row r="23" spans="1:8" ht="15.95" customHeight="1">
      <c r="A23" s="9"/>
      <c r="B23" s="10"/>
      <c r="C23" s="10"/>
      <c r="D23" s="11"/>
      <c r="E23" s="11"/>
      <c r="F23" s="12"/>
      <c r="G23" s="12"/>
      <c r="H23" s="13"/>
    </row>
    <row r="24" spans="1:8" ht="15.95" customHeight="1">
      <c r="A24" s="9"/>
      <c r="B24" s="10"/>
      <c r="C24" s="10"/>
      <c r="D24" s="11"/>
      <c r="E24" s="11"/>
      <c r="F24" s="12"/>
      <c r="G24" s="12"/>
      <c r="H24" s="13"/>
    </row>
    <row r="25" spans="1:8" ht="15.95" customHeight="1">
      <c r="A25" s="9"/>
      <c r="B25" s="10"/>
      <c r="C25" s="10"/>
      <c r="D25" s="11"/>
      <c r="E25" s="11"/>
      <c r="F25" s="12"/>
      <c r="G25" s="12"/>
      <c r="H25" s="13"/>
    </row>
    <row r="26" spans="1:8" ht="15.95" customHeight="1">
      <c r="A26" s="9"/>
      <c r="B26" s="10"/>
      <c r="C26" s="10"/>
      <c r="D26" s="11"/>
      <c r="E26" s="11"/>
      <c r="F26" s="12"/>
      <c r="G26" s="12"/>
      <c r="H26" s="13"/>
    </row>
    <row r="27" spans="1:8" ht="15.95" customHeight="1">
      <c r="A27" s="9"/>
      <c r="B27" s="10"/>
      <c r="C27" s="10"/>
      <c r="D27" s="11"/>
      <c r="E27" s="11"/>
      <c r="F27" s="12"/>
      <c r="G27" s="12"/>
      <c r="H27" s="13"/>
    </row>
    <row r="28" spans="1:8" ht="15.95" customHeight="1">
      <c r="A28" s="9"/>
      <c r="B28" s="10"/>
      <c r="C28" s="10"/>
      <c r="D28" s="11"/>
      <c r="E28" s="11"/>
      <c r="F28" s="12"/>
      <c r="G28" s="12"/>
      <c r="H28" s="13"/>
    </row>
    <row r="29" spans="1:8" ht="15.95" customHeight="1">
      <c r="A29" s="9"/>
      <c r="B29" s="10"/>
      <c r="C29" s="10"/>
      <c r="D29" s="11"/>
      <c r="E29" s="11"/>
      <c r="F29" s="12"/>
      <c r="G29" s="12"/>
      <c r="H29" s="13"/>
    </row>
    <row r="30" spans="1:8" ht="15.95" customHeight="1">
      <c r="A30" s="9"/>
      <c r="B30" s="10"/>
      <c r="C30" s="10"/>
      <c r="D30" s="11"/>
      <c r="E30" s="11"/>
      <c r="F30" s="12"/>
      <c r="G30" s="12"/>
      <c r="H30" s="13"/>
    </row>
    <row r="31" spans="1:8" ht="15.95" customHeight="1">
      <c r="A31" s="9"/>
      <c r="B31" s="10"/>
      <c r="C31" s="10"/>
      <c r="D31" s="11"/>
      <c r="E31" s="11"/>
      <c r="F31" s="12"/>
      <c r="G31" s="12"/>
      <c r="H31" s="13"/>
    </row>
    <row r="32" spans="1:8" ht="15.95" customHeight="1">
      <c r="A32" s="9"/>
      <c r="B32" s="10"/>
      <c r="C32" s="10"/>
      <c r="D32" s="11"/>
      <c r="E32" s="11"/>
      <c r="F32" s="12"/>
      <c r="G32" s="12"/>
      <c r="H32" s="13"/>
    </row>
    <row r="33" spans="1:8" ht="15.95" customHeight="1">
      <c r="A33" s="9"/>
      <c r="B33" s="10"/>
      <c r="C33" s="10"/>
      <c r="D33" s="11"/>
      <c r="E33" s="11"/>
      <c r="F33" s="12"/>
      <c r="G33" s="12"/>
      <c r="H33" s="13"/>
    </row>
    <row r="34" spans="1:8" ht="15.95" customHeight="1">
      <c r="A34" s="9"/>
      <c r="B34" s="10"/>
      <c r="C34" s="10"/>
      <c r="D34" s="11"/>
      <c r="E34" s="11"/>
      <c r="F34" s="12"/>
      <c r="G34" s="12"/>
      <c r="H34" s="13"/>
    </row>
    <row r="35" spans="1:8" ht="15.95" customHeight="1">
      <c r="A35" s="9"/>
      <c r="B35" s="10"/>
      <c r="C35" s="10"/>
      <c r="D35" s="11"/>
      <c r="E35" s="11"/>
      <c r="F35" s="12"/>
      <c r="G35" s="12"/>
      <c r="H35" s="13"/>
    </row>
    <row r="36" spans="1:8" ht="15.95" customHeight="1">
      <c r="A36" s="9"/>
      <c r="B36" s="10"/>
      <c r="C36" s="10"/>
      <c r="D36" s="11"/>
      <c r="E36" s="11"/>
      <c r="F36" s="12"/>
      <c r="G36" s="12"/>
      <c r="H36" s="13"/>
    </row>
    <row r="37" spans="1:8" ht="15.95" customHeight="1">
      <c r="A37" s="9"/>
      <c r="B37" s="10"/>
      <c r="C37" s="10"/>
      <c r="D37" s="11"/>
      <c r="E37" s="11"/>
      <c r="F37" s="12"/>
      <c r="G37" s="12"/>
      <c r="H37" s="13"/>
    </row>
    <row r="38" spans="1:8" ht="15.95" customHeight="1">
      <c r="A38" s="14"/>
      <c r="B38" s="10"/>
      <c r="C38" s="10"/>
      <c r="D38" s="11"/>
      <c r="E38" s="11"/>
      <c r="F38" s="12"/>
      <c r="G38" s="12"/>
      <c r="H38" s="13"/>
    </row>
    <row r="39" spans="1:8">
      <c r="D39" s="2"/>
      <c r="E39" s="2"/>
    </row>
  </sheetData>
  <phoneticPr fontId="2" type="noConversion"/>
  <dataValidations count="1">
    <dataValidation type="list" allowBlank="1" showInputMessage="1" showErrorMessage="1" errorTitle="Invalid Data" error="To add a new category to this list, on the Budget Summary sheet, add a new row to the Expense Overview table. Add the new category name in the Category column." sqref="C4:C38">
      <formula1>BudgetCategory</formula1>
    </dataValidation>
  </dataValidations>
  <pageMargins left="0.5" right="0.5" top="0.75" bottom="0.75" header="0.3" footer="0.3"/>
  <pageSetup scale="72" fitToHeight="0" orientation="portrait" horizontalDpi="4294967292" verticalDpi="4294967292" r:id="rId1"/>
  <headerFooter>
    <oddHeader>&amp;L&amp;"-,Bold"&amp;16&amp;K01+024Monthly Budget - Detail&amp;R&amp;"-,Bold"&amp;K01+024&amp;D
Page &amp;P of &amp;N</oddHead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U68"/>
  <sheetViews>
    <sheetView topLeftCell="A28" zoomScale="70" zoomScaleNormal="70" workbookViewId="0">
      <selection activeCell="I30" sqref="I30"/>
    </sheetView>
  </sheetViews>
  <sheetFormatPr defaultRowHeight="14.25"/>
  <cols>
    <col min="1" max="1" width="8.625" style="816" bestFit="1" customWidth="1"/>
    <col min="2" max="2" width="1.375" style="816" customWidth="1"/>
    <col min="3" max="3" width="55.75" style="615" customWidth="1"/>
    <col min="4" max="4" width="4.5" style="816" customWidth="1"/>
    <col min="5" max="5" width="14.5" style="822" customWidth="1"/>
    <col min="6" max="6" width="10.75" style="768" customWidth="1"/>
    <col min="7" max="7" width="16.5" style="768" customWidth="1"/>
    <col min="8" max="8" width="7.875" style="768" bestFit="1" customWidth="1"/>
    <col min="9" max="9" width="10.75" style="768" bestFit="1" customWidth="1"/>
    <col min="10" max="10" width="20.125" style="768" customWidth="1"/>
    <col min="11" max="11" width="9.25" style="768" bestFit="1" customWidth="1"/>
    <col min="12" max="12" width="10" style="768" customWidth="1"/>
    <col min="13" max="13" width="9.75" style="768" bestFit="1" customWidth="1"/>
    <col min="14" max="14" width="18.625" style="768" customWidth="1"/>
    <col min="15" max="15" width="8.375" style="768" customWidth="1"/>
    <col min="16" max="16" width="9.75" style="768" bestFit="1" customWidth="1"/>
    <col min="17" max="17" width="18.625" style="768" customWidth="1"/>
    <col min="18" max="18" width="7.75" style="768" bestFit="1" customWidth="1"/>
    <col min="19" max="20" width="9" style="615"/>
    <col min="21" max="21" width="15.875" style="615" customWidth="1"/>
    <col min="22" max="256" width="9" style="615"/>
    <col min="257" max="257" width="8.625" style="615" bestFit="1" customWidth="1"/>
    <col min="258" max="258" width="1.375" style="615" customWidth="1"/>
    <col min="259" max="259" width="55.75" style="615" customWidth="1"/>
    <col min="260" max="260" width="4.5" style="615" customWidth="1"/>
    <col min="261" max="261" width="14.5" style="615" customWidth="1"/>
    <col min="262" max="262" width="10.75" style="615" customWidth="1"/>
    <col min="263" max="263" width="16.5" style="615" customWidth="1"/>
    <col min="264" max="264" width="7.875" style="615" bestFit="1" customWidth="1"/>
    <col min="265" max="265" width="10.75" style="615" bestFit="1" customWidth="1"/>
    <col min="266" max="266" width="20.125" style="615" customWidth="1"/>
    <col min="267" max="267" width="9.25" style="615" bestFit="1" customWidth="1"/>
    <col min="268" max="268" width="10" style="615" customWidth="1"/>
    <col min="269" max="269" width="9.75" style="615" bestFit="1" customWidth="1"/>
    <col min="270" max="270" width="18.625" style="615" customWidth="1"/>
    <col min="271" max="271" width="8.375" style="615" customWidth="1"/>
    <col min="272" max="272" width="9.75" style="615" bestFit="1" customWidth="1"/>
    <col min="273" max="273" width="18.625" style="615" customWidth="1"/>
    <col min="274" max="274" width="7.75" style="615" bestFit="1" customWidth="1"/>
    <col min="275" max="276" width="9" style="615"/>
    <col min="277" max="277" width="15.875" style="615" customWidth="1"/>
    <col min="278" max="512" width="9" style="615"/>
    <col min="513" max="513" width="8.625" style="615" bestFit="1" customWidth="1"/>
    <col min="514" max="514" width="1.375" style="615" customWidth="1"/>
    <col min="515" max="515" width="55.75" style="615" customWidth="1"/>
    <col min="516" max="516" width="4.5" style="615" customWidth="1"/>
    <col min="517" max="517" width="14.5" style="615" customWidth="1"/>
    <col min="518" max="518" width="10.75" style="615" customWidth="1"/>
    <col min="519" max="519" width="16.5" style="615" customWidth="1"/>
    <col min="520" max="520" width="7.875" style="615" bestFit="1" customWidth="1"/>
    <col min="521" max="521" width="10.75" style="615" bestFit="1" customWidth="1"/>
    <col min="522" max="522" width="20.125" style="615" customWidth="1"/>
    <col min="523" max="523" width="9.25" style="615" bestFit="1" customWidth="1"/>
    <col min="524" max="524" width="10" style="615" customWidth="1"/>
    <col min="525" max="525" width="9.75" style="615" bestFit="1" customWidth="1"/>
    <col min="526" max="526" width="18.625" style="615" customWidth="1"/>
    <col min="527" max="527" width="8.375" style="615" customWidth="1"/>
    <col min="528" max="528" width="9.75" style="615" bestFit="1" customWidth="1"/>
    <col min="529" max="529" width="18.625" style="615" customWidth="1"/>
    <col min="530" max="530" width="7.75" style="615" bestFit="1" customWidth="1"/>
    <col min="531" max="532" width="9" style="615"/>
    <col min="533" max="533" width="15.875" style="615" customWidth="1"/>
    <col min="534" max="768" width="9" style="615"/>
    <col min="769" max="769" width="8.625" style="615" bestFit="1" customWidth="1"/>
    <col min="770" max="770" width="1.375" style="615" customWidth="1"/>
    <col min="771" max="771" width="55.75" style="615" customWidth="1"/>
    <col min="772" max="772" width="4.5" style="615" customWidth="1"/>
    <col min="773" max="773" width="14.5" style="615" customWidth="1"/>
    <col min="774" max="774" width="10.75" style="615" customWidth="1"/>
    <col min="775" max="775" width="16.5" style="615" customWidth="1"/>
    <col min="776" max="776" width="7.875" style="615" bestFit="1" customWidth="1"/>
    <col min="777" max="777" width="10.75" style="615" bestFit="1" customWidth="1"/>
    <col min="778" max="778" width="20.125" style="615" customWidth="1"/>
    <col min="779" max="779" width="9.25" style="615" bestFit="1" customWidth="1"/>
    <col min="780" max="780" width="10" style="615" customWidth="1"/>
    <col min="781" max="781" width="9.75" style="615" bestFit="1" customWidth="1"/>
    <col min="782" max="782" width="18.625" style="615" customWidth="1"/>
    <col min="783" max="783" width="8.375" style="615" customWidth="1"/>
    <col min="784" max="784" width="9.75" style="615" bestFit="1" customWidth="1"/>
    <col min="785" max="785" width="18.625" style="615" customWidth="1"/>
    <col min="786" max="786" width="7.75" style="615" bestFit="1" customWidth="1"/>
    <col min="787" max="788" width="9" style="615"/>
    <col min="789" max="789" width="15.875" style="615" customWidth="1"/>
    <col min="790" max="1024" width="9" style="615"/>
    <col min="1025" max="1025" width="8.625" style="615" bestFit="1" customWidth="1"/>
    <col min="1026" max="1026" width="1.375" style="615" customWidth="1"/>
    <col min="1027" max="1027" width="55.75" style="615" customWidth="1"/>
    <col min="1028" max="1028" width="4.5" style="615" customWidth="1"/>
    <col min="1029" max="1029" width="14.5" style="615" customWidth="1"/>
    <col min="1030" max="1030" width="10.75" style="615" customWidth="1"/>
    <col min="1031" max="1031" width="16.5" style="615" customWidth="1"/>
    <col min="1032" max="1032" width="7.875" style="615" bestFit="1" customWidth="1"/>
    <col min="1033" max="1033" width="10.75" style="615" bestFit="1" customWidth="1"/>
    <col min="1034" max="1034" width="20.125" style="615" customWidth="1"/>
    <col min="1035" max="1035" width="9.25" style="615" bestFit="1" customWidth="1"/>
    <col min="1036" max="1036" width="10" style="615" customWidth="1"/>
    <col min="1037" max="1037" width="9.75" style="615" bestFit="1" customWidth="1"/>
    <col min="1038" max="1038" width="18.625" style="615" customWidth="1"/>
    <col min="1039" max="1039" width="8.375" style="615" customWidth="1"/>
    <col min="1040" max="1040" width="9.75" style="615" bestFit="1" customWidth="1"/>
    <col min="1041" max="1041" width="18.625" style="615" customWidth="1"/>
    <col min="1042" max="1042" width="7.75" style="615" bestFit="1" customWidth="1"/>
    <col min="1043" max="1044" width="9" style="615"/>
    <col min="1045" max="1045" width="15.875" style="615" customWidth="1"/>
    <col min="1046" max="1280" width="9" style="615"/>
    <col min="1281" max="1281" width="8.625" style="615" bestFit="1" customWidth="1"/>
    <col min="1282" max="1282" width="1.375" style="615" customWidth="1"/>
    <col min="1283" max="1283" width="55.75" style="615" customWidth="1"/>
    <col min="1284" max="1284" width="4.5" style="615" customWidth="1"/>
    <col min="1285" max="1285" width="14.5" style="615" customWidth="1"/>
    <col min="1286" max="1286" width="10.75" style="615" customWidth="1"/>
    <col min="1287" max="1287" width="16.5" style="615" customWidth="1"/>
    <col min="1288" max="1288" width="7.875" style="615" bestFit="1" customWidth="1"/>
    <col min="1289" max="1289" width="10.75" style="615" bestFit="1" customWidth="1"/>
    <col min="1290" max="1290" width="20.125" style="615" customWidth="1"/>
    <col min="1291" max="1291" width="9.25" style="615" bestFit="1" customWidth="1"/>
    <col min="1292" max="1292" width="10" style="615" customWidth="1"/>
    <col min="1293" max="1293" width="9.75" style="615" bestFit="1" customWidth="1"/>
    <col min="1294" max="1294" width="18.625" style="615" customWidth="1"/>
    <col min="1295" max="1295" width="8.375" style="615" customWidth="1"/>
    <col min="1296" max="1296" width="9.75" style="615" bestFit="1" customWidth="1"/>
    <col min="1297" max="1297" width="18.625" style="615" customWidth="1"/>
    <col min="1298" max="1298" width="7.75" style="615" bestFit="1" customWidth="1"/>
    <col min="1299" max="1300" width="9" style="615"/>
    <col min="1301" max="1301" width="15.875" style="615" customWidth="1"/>
    <col min="1302" max="1536" width="9" style="615"/>
    <col min="1537" max="1537" width="8.625" style="615" bestFit="1" customWidth="1"/>
    <col min="1538" max="1538" width="1.375" style="615" customWidth="1"/>
    <col min="1539" max="1539" width="55.75" style="615" customWidth="1"/>
    <col min="1540" max="1540" width="4.5" style="615" customWidth="1"/>
    <col min="1541" max="1541" width="14.5" style="615" customWidth="1"/>
    <col min="1542" max="1542" width="10.75" style="615" customWidth="1"/>
    <col min="1543" max="1543" width="16.5" style="615" customWidth="1"/>
    <col min="1544" max="1544" width="7.875" style="615" bestFit="1" customWidth="1"/>
    <col min="1545" max="1545" width="10.75" style="615" bestFit="1" customWidth="1"/>
    <col min="1546" max="1546" width="20.125" style="615" customWidth="1"/>
    <col min="1547" max="1547" width="9.25" style="615" bestFit="1" customWidth="1"/>
    <col min="1548" max="1548" width="10" style="615" customWidth="1"/>
    <col min="1549" max="1549" width="9.75" style="615" bestFit="1" customWidth="1"/>
    <col min="1550" max="1550" width="18.625" style="615" customWidth="1"/>
    <col min="1551" max="1551" width="8.375" style="615" customWidth="1"/>
    <col min="1552" max="1552" width="9.75" style="615" bestFit="1" customWidth="1"/>
    <col min="1553" max="1553" width="18.625" style="615" customWidth="1"/>
    <col min="1554" max="1554" width="7.75" style="615" bestFit="1" customWidth="1"/>
    <col min="1555" max="1556" width="9" style="615"/>
    <col min="1557" max="1557" width="15.875" style="615" customWidth="1"/>
    <col min="1558" max="1792" width="9" style="615"/>
    <col min="1793" max="1793" width="8.625" style="615" bestFit="1" customWidth="1"/>
    <col min="1794" max="1794" width="1.375" style="615" customWidth="1"/>
    <col min="1795" max="1795" width="55.75" style="615" customWidth="1"/>
    <col min="1796" max="1796" width="4.5" style="615" customWidth="1"/>
    <col min="1797" max="1797" width="14.5" style="615" customWidth="1"/>
    <col min="1798" max="1798" width="10.75" style="615" customWidth="1"/>
    <col min="1799" max="1799" width="16.5" style="615" customWidth="1"/>
    <col min="1800" max="1800" width="7.875" style="615" bestFit="1" customWidth="1"/>
    <col min="1801" max="1801" width="10.75" style="615" bestFit="1" customWidth="1"/>
    <col min="1802" max="1802" width="20.125" style="615" customWidth="1"/>
    <col min="1803" max="1803" width="9.25" style="615" bestFit="1" customWidth="1"/>
    <col min="1804" max="1804" width="10" style="615" customWidth="1"/>
    <col min="1805" max="1805" width="9.75" style="615" bestFit="1" customWidth="1"/>
    <col min="1806" max="1806" width="18.625" style="615" customWidth="1"/>
    <col min="1807" max="1807" width="8.375" style="615" customWidth="1"/>
    <col min="1808" max="1808" width="9.75" style="615" bestFit="1" customWidth="1"/>
    <col min="1809" max="1809" width="18.625" style="615" customWidth="1"/>
    <col min="1810" max="1810" width="7.75" style="615" bestFit="1" customWidth="1"/>
    <col min="1811" max="1812" width="9" style="615"/>
    <col min="1813" max="1813" width="15.875" style="615" customWidth="1"/>
    <col min="1814" max="2048" width="9" style="615"/>
    <col min="2049" max="2049" width="8.625" style="615" bestFit="1" customWidth="1"/>
    <col min="2050" max="2050" width="1.375" style="615" customWidth="1"/>
    <col min="2051" max="2051" width="55.75" style="615" customWidth="1"/>
    <col min="2052" max="2052" width="4.5" style="615" customWidth="1"/>
    <col min="2053" max="2053" width="14.5" style="615" customWidth="1"/>
    <col min="2054" max="2054" width="10.75" style="615" customWidth="1"/>
    <col min="2055" max="2055" width="16.5" style="615" customWidth="1"/>
    <col min="2056" max="2056" width="7.875" style="615" bestFit="1" customWidth="1"/>
    <col min="2057" max="2057" width="10.75" style="615" bestFit="1" customWidth="1"/>
    <col min="2058" max="2058" width="20.125" style="615" customWidth="1"/>
    <col min="2059" max="2059" width="9.25" style="615" bestFit="1" customWidth="1"/>
    <col min="2060" max="2060" width="10" style="615" customWidth="1"/>
    <col min="2061" max="2061" width="9.75" style="615" bestFit="1" customWidth="1"/>
    <col min="2062" max="2062" width="18.625" style="615" customWidth="1"/>
    <col min="2063" max="2063" width="8.375" style="615" customWidth="1"/>
    <col min="2064" max="2064" width="9.75" style="615" bestFit="1" customWidth="1"/>
    <col min="2065" max="2065" width="18.625" style="615" customWidth="1"/>
    <col min="2066" max="2066" width="7.75" style="615" bestFit="1" customWidth="1"/>
    <col min="2067" max="2068" width="9" style="615"/>
    <col min="2069" max="2069" width="15.875" style="615" customWidth="1"/>
    <col min="2070" max="2304" width="9" style="615"/>
    <col min="2305" max="2305" width="8.625" style="615" bestFit="1" customWidth="1"/>
    <col min="2306" max="2306" width="1.375" style="615" customWidth="1"/>
    <col min="2307" max="2307" width="55.75" style="615" customWidth="1"/>
    <col min="2308" max="2308" width="4.5" style="615" customWidth="1"/>
    <col min="2309" max="2309" width="14.5" style="615" customWidth="1"/>
    <col min="2310" max="2310" width="10.75" style="615" customWidth="1"/>
    <col min="2311" max="2311" width="16.5" style="615" customWidth="1"/>
    <col min="2312" max="2312" width="7.875" style="615" bestFit="1" customWidth="1"/>
    <col min="2313" max="2313" width="10.75" style="615" bestFit="1" customWidth="1"/>
    <col min="2314" max="2314" width="20.125" style="615" customWidth="1"/>
    <col min="2315" max="2315" width="9.25" style="615" bestFit="1" customWidth="1"/>
    <col min="2316" max="2316" width="10" style="615" customWidth="1"/>
    <col min="2317" max="2317" width="9.75" style="615" bestFit="1" customWidth="1"/>
    <col min="2318" max="2318" width="18.625" style="615" customWidth="1"/>
    <col min="2319" max="2319" width="8.375" style="615" customWidth="1"/>
    <col min="2320" max="2320" width="9.75" style="615" bestFit="1" customWidth="1"/>
    <col min="2321" max="2321" width="18.625" style="615" customWidth="1"/>
    <col min="2322" max="2322" width="7.75" style="615" bestFit="1" customWidth="1"/>
    <col min="2323" max="2324" width="9" style="615"/>
    <col min="2325" max="2325" width="15.875" style="615" customWidth="1"/>
    <col min="2326" max="2560" width="9" style="615"/>
    <col min="2561" max="2561" width="8.625" style="615" bestFit="1" customWidth="1"/>
    <col min="2562" max="2562" width="1.375" style="615" customWidth="1"/>
    <col min="2563" max="2563" width="55.75" style="615" customWidth="1"/>
    <col min="2564" max="2564" width="4.5" style="615" customWidth="1"/>
    <col min="2565" max="2565" width="14.5" style="615" customWidth="1"/>
    <col min="2566" max="2566" width="10.75" style="615" customWidth="1"/>
    <col min="2567" max="2567" width="16.5" style="615" customWidth="1"/>
    <col min="2568" max="2568" width="7.875" style="615" bestFit="1" customWidth="1"/>
    <col min="2569" max="2569" width="10.75" style="615" bestFit="1" customWidth="1"/>
    <col min="2570" max="2570" width="20.125" style="615" customWidth="1"/>
    <col min="2571" max="2571" width="9.25" style="615" bestFit="1" customWidth="1"/>
    <col min="2572" max="2572" width="10" style="615" customWidth="1"/>
    <col min="2573" max="2573" width="9.75" style="615" bestFit="1" customWidth="1"/>
    <col min="2574" max="2574" width="18.625" style="615" customWidth="1"/>
    <col min="2575" max="2575" width="8.375" style="615" customWidth="1"/>
    <col min="2576" max="2576" width="9.75" style="615" bestFit="1" customWidth="1"/>
    <col min="2577" max="2577" width="18.625" style="615" customWidth="1"/>
    <col min="2578" max="2578" width="7.75" style="615" bestFit="1" customWidth="1"/>
    <col min="2579" max="2580" width="9" style="615"/>
    <col min="2581" max="2581" width="15.875" style="615" customWidth="1"/>
    <col min="2582" max="2816" width="9" style="615"/>
    <col min="2817" max="2817" width="8.625" style="615" bestFit="1" customWidth="1"/>
    <col min="2818" max="2818" width="1.375" style="615" customWidth="1"/>
    <col min="2819" max="2819" width="55.75" style="615" customWidth="1"/>
    <col min="2820" max="2820" width="4.5" style="615" customWidth="1"/>
    <col min="2821" max="2821" width="14.5" style="615" customWidth="1"/>
    <col min="2822" max="2822" width="10.75" style="615" customWidth="1"/>
    <col min="2823" max="2823" width="16.5" style="615" customWidth="1"/>
    <col min="2824" max="2824" width="7.875" style="615" bestFit="1" customWidth="1"/>
    <col min="2825" max="2825" width="10.75" style="615" bestFit="1" customWidth="1"/>
    <col min="2826" max="2826" width="20.125" style="615" customWidth="1"/>
    <col min="2827" max="2827" width="9.25" style="615" bestFit="1" customWidth="1"/>
    <col min="2828" max="2828" width="10" style="615" customWidth="1"/>
    <col min="2829" max="2829" width="9.75" style="615" bestFit="1" customWidth="1"/>
    <col min="2830" max="2830" width="18.625" style="615" customWidth="1"/>
    <col min="2831" max="2831" width="8.375" style="615" customWidth="1"/>
    <col min="2832" max="2832" width="9.75" style="615" bestFit="1" customWidth="1"/>
    <col min="2833" max="2833" width="18.625" style="615" customWidth="1"/>
    <col min="2834" max="2834" width="7.75" style="615" bestFit="1" customWidth="1"/>
    <col min="2835" max="2836" width="9" style="615"/>
    <col min="2837" max="2837" width="15.875" style="615" customWidth="1"/>
    <col min="2838" max="3072" width="9" style="615"/>
    <col min="3073" max="3073" width="8.625" style="615" bestFit="1" customWidth="1"/>
    <col min="3074" max="3074" width="1.375" style="615" customWidth="1"/>
    <col min="3075" max="3075" width="55.75" style="615" customWidth="1"/>
    <col min="3076" max="3076" width="4.5" style="615" customWidth="1"/>
    <col min="3077" max="3077" width="14.5" style="615" customWidth="1"/>
    <col min="3078" max="3078" width="10.75" style="615" customWidth="1"/>
    <col min="3079" max="3079" width="16.5" style="615" customWidth="1"/>
    <col min="3080" max="3080" width="7.875" style="615" bestFit="1" customWidth="1"/>
    <col min="3081" max="3081" width="10.75" style="615" bestFit="1" customWidth="1"/>
    <col min="3082" max="3082" width="20.125" style="615" customWidth="1"/>
    <col min="3083" max="3083" width="9.25" style="615" bestFit="1" customWidth="1"/>
    <col min="3084" max="3084" width="10" style="615" customWidth="1"/>
    <col min="3085" max="3085" width="9.75" style="615" bestFit="1" customWidth="1"/>
    <col min="3086" max="3086" width="18.625" style="615" customWidth="1"/>
    <col min="3087" max="3087" width="8.375" style="615" customWidth="1"/>
    <col min="3088" max="3088" width="9.75" style="615" bestFit="1" customWidth="1"/>
    <col min="3089" max="3089" width="18.625" style="615" customWidth="1"/>
    <col min="3090" max="3090" width="7.75" style="615" bestFit="1" customWidth="1"/>
    <col min="3091" max="3092" width="9" style="615"/>
    <col min="3093" max="3093" width="15.875" style="615" customWidth="1"/>
    <col min="3094" max="3328" width="9" style="615"/>
    <col min="3329" max="3329" width="8.625" style="615" bestFit="1" customWidth="1"/>
    <col min="3330" max="3330" width="1.375" style="615" customWidth="1"/>
    <col min="3331" max="3331" width="55.75" style="615" customWidth="1"/>
    <col min="3332" max="3332" width="4.5" style="615" customWidth="1"/>
    <col min="3333" max="3333" width="14.5" style="615" customWidth="1"/>
    <col min="3334" max="3334" width="10.75" style="615" customWidth="1"/>
    <col min="3335" max="3335" width="16.5" style="615" customWidth="1"/>
    <col min="3336" max="3336" width="7.875" style="615" bestFit="1" customWidth="1"/>
    <col min="3337" max="3337" width="10.75" style="615" bestFit="1" customWidth="1"/>
    <col min="3338" max="3338" width="20.125" style="615" customWidth="1"/>
    <col min="3339" max="3339" width="9.25" style="615" bestFit="1" customWidth="1"/>
    <col min="3340" max="3340" width="10" style="615" customWidth="1"/>
    <col min="3341" max="3341" width="9.75" style="615" bestFit="1" customWidth="1"/>
    <col min="3342" max="3342" width="18.625" style="615" customWidth="1"/>
    <col min="3343" max="3343" width="8.375" style="615" customWidth="1"/>
    <col min="3344" max="3344" width="9.75" style="615" bestFit="1" customWidth="1"/>
    <col min="3345" max="3345" width="18.625" style="615" customWidth="1"/>
    <col min="3346" max="3346" width="7.75" style="615" bestFit="1" customWidth="1"/>
    <col min="3347" max="3348" width="9" style="615"/>
    <col min="3349" max="3349" width="15.875" style="615" customWidth="1"/>
    <col min="3350" max="3584" width="9" style="615"/>
    <col min="3585" max="3585" width="8.625" style="615" bestFit="1" customWidth="1"/>
    <col min="3586" max="3586" width="1.375" style="615" customWidth="1"/>
    <col min="3587" max="3587" width="55.75" style="615" customWidth="1"/>
    <col min="3588" max="3588" width="4.5" style="615" customWidth="1"/>
    <col min="3589" max="3589" width="14.5" style="615" customWidth="1"/>
    <col min="3590" max="3590" width="10.75" style="615" customWidth="1"/>
    <col min="3591" max="3591" width="16.5" style="615" customWidth="1"/>
    <col min="3592" max="3592" width="7.875" style="615" bestFit="1" customWidth="1"/>
    <col min="3593" max="3593" width="10.75" style="615" bestFit="1" customWidth="1"/>
    <col min="3594" max="3594" width="20.125" style="615" customWidth="1"/>
    <col min="3595" max="3595" width="9.25" style="615" bestFit="1" customWidth="1"/>
    <col min="3596" max="3596" width="10" style="615" customWidth="1"/>
    <col min="3597" max="3597" width="9.75" style="615" bestFit="1" customWidth="1"/>
    <col min="3598" max="3598" width="18.625" style="615" customWidth="1"/>
    <col min="3599" max="3599" width="8.375" style="615" customWidth="1"/>
    <col min="3600" max="3600" width="9.75" style="615" bestFit="1" customWidth="1"/>
    <col min="3601" max="3601" width="18.625" style="615" customWidth="1"/>
    <col min="3602" max="3602" width="7.75" style="615" bestFit="1" customWidth="1"/>
    <col min="3603" max="3604" width="9" style="615"/>
    <col min="3605" max="3605" width="15.875" style="615" customWidth="1"/>
    <col min="3606" max="3840" width="9" style="615"/>
    <col min="3841" max="3841" width="8.625" style="615" bestFit="1" customWidth="1"/>
    <col min="3842" max="3842" width="1.375" style="615" customWidth="1"/>
    <col min="3843" max="3843" width="55.75" style="615" customWidth="1"/>
    <col min="3844" max="3844" width="4.5" style="615" customWidth="1"/>
    <col min="3845" max="3845" width="14.5" style="615" customWidth="1"/>
    <col min="3846" max="3846" width="10.75" style="615" customWidth="1"/>
    <col min="3847" max="3847" width="16.5" style="615" customWidth="1"/>
    <col min="3848" max="3848" width="7.875" style="615" bestFit="1" customWidth="1"/>
    <col min="3849" max="3849" width="10.75" style="615" bestFit="1" customWidth="1"/>
    <col min="3850" max="3850" width="20.125" style="615" customWidth="1"/>
    <col min="3851" max="3851" width="9.25" style="615" bestFit="1" customWidth="1"/>
    <col min="3852" max="3852" width="10" style="615" customWidth="1"/>
    <col min="3853" max="3853" width="9.75" style="615" bestFit="1" customWidth="1"/>
    <col min="3854" max="3854" width="18.625" style="615" customWidth="1"/>
    <col min="3855" max="3855" width="8.375" style="615" customWidth="1"/>
    <col min="3856" max="3856" width="9.75" style="615" bestFit="1" customWidth="1"/>
    <col min="3857" max="3857" width="18.625" style="615" customWidth="1"/>
    <col min="3858" max="3858" width="7.75" style="615" bestFit="1" customWidth="1"/>
    <col min="3859" max="3860" width="9" style="615"/>
    <col min="3861" max="3861" width="15.875" style="615" customWidth="1"/>
    <col min="3862" max="4096" width="9" style="615"/>
    <col min="4097" max="4097" width="8.625" style="615" bestFit="1" customWidth="1"/>
    <col min="4098" max="4098" width="1.375" style="615" customWidth="1"/>
    <col min="4099" max="4099" width="55.75" style="615" customWidth="1"/>
    <col min="4100" max="4100" width="4.5" style="615" customWidth="1"/>
    <col min="4101" max="4101" width="14.5" style="615" customWidth="1"/>
    <col min="4102" max="4102" width="10.75" style="615" customWidth="1"/>
    <col min="4103" max="4103" width="16.5" style="615" customWidth="1"/>
    <col min="4104" max="4104" width="7.875" style="615" bestFit="1" customWidth="1"/>
    <col min="4105" max="4105" width="10.75" style="615" bestFit="1" customWidth="1"/>
    <col min="4106" max="4106" width="20.125" style="615" customWidth="1"/>
    <col min="4107" max="4107" width="9.25" style="615" bestFit="1" customWidth="1"/>
    <col min="4108" max="4108" width="10" style="615" customWidth="1"/>
    <col min="4109" max="4109" width="9.75" style="615" bestFit="1" customWidth="1"/>
    <col min="4110" max="4110" width="18.625" style="615" customWidth="1"/>
    <col min="4111" max="4111" width="8.375" style="615" customWidth="1"/>
    <col min="4112" max="4112" width="9.75" style="615" bestFit="1" customWidth="1"/>
    <col min="4113" max="4113" width="18.625" style="615" customWidth="1"/>
    <col min="4114" max="4114" width="7.75" style="615" bestFit="1" customWidth="1"/>
    <col min="4115" max="4116" width="9" style="615"/>
    <col min="4117" max="4117" width="15.875" style="615" customWidth="1"/>
    <col min="4118" max="4352" width="9" style="615"/>
    <col min="4353" max="4353" width="8.625" style="615" bestFit="1" customWidth="1"/>
    <col min="4354" max="4354" width="1.375" style="615" customWidth="1"/>
    <col min="4355" max="4355" width="55.75" style="615" customWidth="1"/>
    <col min="4356" max="4356" width="4.5" style="615" customWidth="1"/>
    <col min="4357" max="4357" width="14.5" style="615" customWidth="1"/>
    <col min="4358" max="4358" width="10.75" style="615" customWidth="1"/>
    <col min="4359" max="4359" width="16.5" style="615" customWidth="1"/>
    <col min="4360" max="4360" width="7.875" style="615" bestFit="1" customWidth="1"/>
    <col min="4361" max="4361" width="10.75" style="615" bestFit="1" customWidth="1"/>
    <col min="4362" max="4362" width="20.125" style="615" customWidth="1"/>
    <col min="4363" max="4363" width="9.25" style="615" bestFit="1" customWidth="1"/>
    <col min="4364" max="4364" width="10" style="615" customWidth="1"/>
    <col min="4365" max="4365" width="9.75" style="615" bestFit="1" customWidth="1"/>
    <col min="4366" max="4366" width="18.625" style="615" customWidth="1"/>
    <col min="4367" max="4367" width="8.375" style="615" customWidth="1"/>
    <col min="4368" max="4368" width="9.75" style="615" bestFit="1" customWidth="1"/>
    <col min="4369" max="4369" width="18.625" style="615" customWidth="1"/>
    <col min="4370" max="4370" width="7.75" style="615" bestFit="1" customWidth="1"/>
    <col min="4371" max="4372" width="9" style="615"/>
    <col min="4373" max="4373" width="15.875" style="615" customWidth="1"/>
    <col min="4374" max="4608" width="9" style="615"/>
    <col min="4609" max="4609" width="8.625" style="615" bestFit="1" customWidth="1"/>
    <col min="4610" max="4610" width="1.375" style="615" customWidth="1"/>
    <col min="4611" max="4611" width="55.75" style="615" customWidth="1"/>
    <col min="4612" max="4612" width="4.5" style="615" customWidth="1"/>
    <col min="4613" max="4613" width="14.5" style="615" customWidth="1"/>
    <col min="4614" max="4614" width="10.75" style="615" customWidth="1"/>
    <col min="4615" max="4615" width="16.5" style="615" customWidth="1"/>
    <col min="4616" max="4616" width="7.875" style="615" bestFit="1" customWidth="1"/>
    <col min="4617" max="4617" width="10.75" style="615" bestFit="1" customWidth="1"/>
    <col min="4618" max="4618" width="20.125" style="615" customWidth="1"/>
    <col min="4619" max="4619" width="9.25" style="615" bestFit="1" customWidth="1"/>
    <col min="4620" max="4620" width="10" style="615" customWidth="1"/>
    <col min="4621" max="4621" width="9.75" style="615" bestFit="1" customWidth="1"/>
    <col min="4622" max="4622" width="18.625" style="615" customWidth="1"/>
    <col min="4623" max="4623" width="8.375" style="615" customWidth="1"/>
    <col min="4624" max="4624" width="9.75" style="615" bestFit="1" customWidth="1"/>
    <col min="4625" max="4625" width="18.625" style="615" customWidth="1"/>
    <col min="4626" max="4626" width="7.75" style="615" bestFit="1" customWidth="1"/>
    <col min="4627" max="4628" width="9" style="615"/>
    <col min="4629" max="4629" width="15.875" style="615" customWidth="1"/>
    <col min="4630" max="4864" width="9" style="615"/>
    <col min="4865" max="4865" width="8.625" style="615" bestFit="1" customWidth="1"/>
    <col min="4866" max="4866" width="1.375" style="615" customWidth="1"/>
    <col min="4867" max="4867" width="55.75" style="615" customWidth="1"/>
    <col min="4868" max="4868" width="4.5" style="615" customWidth="1"/>
    <col min="4869" max="4869" width="14.5" style="615" customWidth="1"/>
    <col min="4870" max="4870" width="10.75" style="615" customWidth="1"/>
    <col min="4871" max="4871" width="16.5" style="615" customWidth="1"/>
    <col min="4872" max="4872" width="7.875" style="615" bestFit="1" customWidth="1"/>
    <col min="4873" max="4873" width="10.75" style="615" bestFit="1" customWidth="1"/>
    <col min="4874" max="4874" width="20.125" style="615" customWidth="1"/>
    <col min="4875" max="4875" width="9.25" style="615" bestFit="1" customWidth="1"/>
    <col min="4876" max="4876" width="10" style="615" customWidth="1"/>
    <col min="4877" max="4877" width="9.75" style="615" bestFit="1" customWidth="1"/>
    <col min="4878" max="4878" width="18.625" style="615" customWidth="1"/>
    <col min="4879" max="4879" width="8.375" style="615" customWidth="1"/>
    <col min="4880" max="4880" width="9.75" style="615" bestFit="1" customWidth="1"/>
    <col min="4881" max="4881" width="18.625" style="615" customWidth="1"/>
    <col min="4882" max="4882" width="7.75" style="615" bestFit="1" customWidth="1"/>
    <col min="4883" max="4884" width="9" style="615"/>
    <col min="4885" max="4885" width="15.875" style="615" customWidth="1"/>
    <col min="4886" max="5120" width="9" style="615"/>
    <col min="5121" max="5121" width="8.625" style="615" bestFit="1" customWidth="1"/>
    <col min="5122" max="5122" width="1.375" style="615" customWidth="1"/>
    <col min="5123" max="5123" width="55.75" style="615" customWidth="1"/>
    <col min="5124" max="5124" width="4.5" style="615" customWidth="1"/>
    <col min="5125" max="5125" width="14.5" style="615" customWidth="1"/>
    <col min="5126" max="5126" width="10.75" style="615" customWidth="1"/>
    <col min="5127" max="5127" width="16.5" style="615" customWidth="1"/>
    <col min="5128" max="5128" width="7.875" style="615" bestFit="1" customWidth="1"/>
    <col min="5129" max="5129" width="10.75" style="615" bestFit="1" customWidth="1"/>
    <col min="5130" max="5130" width="20.125" style="615" customWidth="1"/>
    <col min="5131" max="5131" width="9.25" style="615" bestFit="1" customWidth="1"/>
    <col min="5132" max="5132" width="10" style="615" customWidth="1"/>
    <col min="5133" max="5133" width="9.75" style="615" bestFit="1" customWidth="1"/>
    <col min="5134" max="5134" width="18.625" style="615" customWidth="1"/>
    <col min="5135" max="5135" width="8.375" style="615" customWidth="1"/>
    <col min="5136" max="5136" width="9.75" style="615" bestFit="1" customWidth="1"/>
    <col min="5137" max="5137" width="18.625" style="615" customWidth="1"/>
    <col min="5138" max="5138" width="7.75" style="615" bestFit="1" customWidth="1"/>
    <col min="5139" max="5140" width="9" style="615"/>
    <col min="5141" max="5141" width="15.875" style="615" customWidth="1"/>
    <col min="5142" max="5376" width="9" style="615"/>
    <col min="5377" max="5377" width="8.625" style="615" bestFit="1" customWidth="1"/>
    <col min="5378" max="5378" width="1.375" style="615" customWidth="1"/>
    <col min="5379" max="5379" width="55.75" style="615" customWidth="1"/>
    <col min="5380" max="5380" width="4.5" style="615" customWidth="1"/>
    <col min="5381" max="5381" width="14.5" style="615" customWidth="1"/>
    <col min="5382" max="5382" width="10.75" style="615" customWidth="1"/>
    <col min="5383" max="5383" width="16.5" style="615" customWidth="1"/>
    <col min="5384" max="5384" width="7.875" style="615" bestFit="1" customWidth="1"/>
    <col min="5385" max="5385" width="10.75" style="615" bestFit="1" customWidth="1"/>
    <col min="5386" max="5386" width="20.125" style="615" customWidth="1"/>
    <col min="5387" max="5387" width="9.25" style="615" bestFit="1" customWidth="1"/>
    <col min="5388" max="5388" width="10" style="615" customWidth="1"/>
    <col min="5389" max="5389" width="9.75" style="615" bestFit="1" customWidth="1"/>
    <col min="5390" max="5390" width="18.625" style="615" customWidth="1"/>
    <col min="5391" max="5391" width="8.375" style="615" customWidth="1"/>
    <col min="5392" max="5392" width="9.75" style="615" bestFit="1" customWidth="1"/>
    <col min="5393" max="5393" width="18.625" style="615" customWidth="1"/>
    <col min="5394" max="5394" width="7.75" style="615" bestFit="1" customWidth="1"/>
    <col min="5395" max="5396" width="9" style="615"/>
    <col min="5397" max="5397" width="15.875" style="615" customWidth="1"/>
    <col min="5398" max="5632" width="9" style="615"/>
    <col min="5633" max="5633" width="8.625" style="615" bestFit="1" customWidth="1"/>
    <col min="5634" max="5634" width="1.375" style="615" customWidth="1"/>
    <col min="5635" max="5635" width="55.75" style="615" customWidth="1"/>
    <col min="5636" max="5636" width="4.5" style="615" customWidth="1"/>
    <col min="5637" max="5637" width="14.5" style="615" customWidth="1"/>
    <col min="5638" max="5638" width="10.75" style="615" customWidth="1"/>
    <col min="5639" max="5639" width="16.5" style="615" customWidth="1"/>
    <col min="5640" max="5640" width="7.875" style="615" bestFit="1" customWidth="1"/>
    <col min="5641" max="5641" width="10.75" style="615" bestFit="1" customWidth="1"/>
    <col min="5642" max="5642" width="20.125" style="615" customWidth="1"/>
    <col min="5643" max="5643" width="9.25" style="615" bestFit="1" customWidth="1"/>
    <col min="5644" max="5644" width="10" style="615" customWidth="1"/>
    <col min="5645" max="5645" width="9.75" style="615" bestFit="1" customWidth="1"/>
    <col min="5646" max="5646" width="18.625" style="615" customWidth="1"/>
    <col min="5647" max="5647" width="8.375" style="615" customWidth="1"/>
    <col min="5648" max="5648" width="9.75" style="615" bestFit="1" customWidth="1"/>
    <col min="5649" max="5649" width="18.625" style="615" customWidth="1"/>
    <col min="5650" max="5650" width="7.75" style="615" bestFit="1" customWidth="1"/>
    <col min="5651" max="5652" width="9" style="615"/>
    <col min="5653" max="5653" width="15.875" style="615" customWidth="1"/>
    <col min="5654" max="5888" width="9" style="615"/>
    <col min="5889" max="5889" width="8.625" style="615" bestFit="1" customWidth="1"/>
    <col min="5890" max="5890" width="1.375" style="615" customWidth="1"/>
    <col min="5891" max="5891" width="55.75" style="615" customWidth="1"/>
    <col min="5892" max="5892" width="4.5" style="615" customWidth="1"/>
    <col min="5893" max="5893" width="14.5" style="615" customWidth="1"/>
    <col min="5894" max="5894" width="10.75" style="615" customWidth="1"/>
    <col min="5895" max="5895" width="16.5" style="615" customWidth="1"/>
    <col min="5896" max="5896" width="7.875" style="615" bestFit="1" customWidth="1"/>
    <col min="5897" max="5897" width="10.75" style="615" bestFit="1" customWidth="1"/>
    <col min="5898" max="5898" width="20.125" style="615" customWidth="1"/>
    <col min="5899" max="5899" width="9.25" style="615" bestFit="1" customWidth="1"/>
    <col min="5900" max="5900" width="10" style="615" customWidth="1"/>
    <col min="5901" max="5901" width="9.75" style="615" bestFit="1" customWidth="1"/>
    <col min="5902" max="5902" width="18.625" style="615" customWidth="1"/>
    <col min="5903" max="5903" width="8.375" style="615" customWidth="1"/>
    <col min="5904" max="5904" width="9.75" style="615" bestFit="1" customWidth="1"/>
    <col min="5905" max="5905" width="18.625" style="615" customWidth="1"/>
    <col min="5906" max="5906" width="7.75" style="615" bestFit="1" customWidth="1"/>
    <col min="5907" max="5908" width="9" style="615"/>
    <col min="5909" max="5909" width="15.875" style="615" customWidth="1"/>
    <col min="5910" max="6144" width="9" style="615"/>
    <col min="6145" max="6145" width="8.625" style="615" bestFit="1" customWidth="1"/>
    <col min="6146" max="6146" width="1.375" style="615" customWidth="1"/>
    <col min="6147" max="6147" width="55.75" style="615" customWidth="1"/>
    <col min="6148" max="6148" width="4.5" style="615" customWidth="1"/>
    <col min="6149" max="6149" width="14.5" style="615" customWidth="1"/>
    <col min="6150" max="6150" width="10.75" style="615" customWidth="1"/>
    <col min="6151" max="6151" width="16.5" style="615" customWidth="1"/>
    <col min="6152" max="6152" width="7.875" style="615" bestFit="1" customWidth="1"/>
    <col min="6153" max="6153" width="10.75" style="615" bestFit="1" customWidth="1"/>
    <col min="6154" max="6154" width="20.125" style="615" customWidth="1"/>
    <col min="6155" max="6155" width="9.25" style="615" bestFit="1" customWidth="1"/>
    <col min="6156" max="6156" width="10" style="615" customWidth="1"/>
    <col min="6157" max="6157" width="9.75" style="615" bestFit="1" customWidth="1"/>
    <col min="6158" max="6158" width="18.625" style="615" customWidth="1"/>
    <col min="6159" max="6159" width="8.375" style="615" customWidth="1"/>
    <col min="6160" max="6160" width="9.75" style="615" bestFit="1" customWidth="1"/>
    <col min="6161" max="6161" width="18.625" style="615" customWidth="1"/>
    <col min="6162" max="6162" width="7.75" style="615" bestFit="1" customWidth="1"/>
    <col min="6163" max="6164" width="9" style="615"/>
    <col min="6165" max="6165" width="15.875" style="615" customWidth="1"/>
    <col min="6166" max="6400" width="9" style="615"/>
    <col min="6401" max="6401" width="8.625" style="615" bestFit="1" customWidth="1"/>
    <col min="6402" max="6402" width="1.375" style="615" customWidth="1"/>
    <col min="6403" max="6403" width="55.75" style="615" customWidth="1"/>
    <col min="6404" max="6404" width="4.5" style="615" customWidth="1"/>
    <col min="6405" max="6405" width="14.5" style="615" customWidth="1"/>
    <col min="6406" max="6406" width="10.75" style="615" customWidth="1"/>
    <col min="6407" max="6407" width="16.5" style="615" customWidth="1"/>
    <col min="6408" max="6408" width="7.875" style="615" bestFit="1" customWidth="1"/>
    <col min="6409" max="6409" width="10.75" style="615" bestFit="1" customWidth="1"/>
    <col min="6410" max="6410" width="20.125" style="615" customWidth="1"/>
    <col min="6411" max="6411" width="9.25" style="615" bestFit="1" customWidth="1"/>
    <col min="6412" max="6412" width="10" style="615" customWidth="1"/>
    <col min="6413" max="6413" width="9.75" style="615" bestFit="1" customWidth="1"/>
    <col min="6414" max="6414" width="18.625" style="615" customWidth="1"/>
    <col min="6415" max="6415" width="8.375" style="615" customWidth="1"/>
    <col min="6416" max="6416" width="9.75" style="615" bestFit="1" customWidth="1"/>
    <col min="6417" max="6417" width="18.625" style="615" customWidth="1"/>
    <col min="6418" max="6418" width="7.75" style="615" bestFit="1" customWidth="1"/>
    <col min="6419" max="6420" width="9" style="615"/>
    <col min="6421" max="6421" width="15.875" style="615" customWidth="1"/>
    <col min="6422" max="6656" width="9" style="615"/>
    <col min="6657" max="6657" width="8.625" style="615" bestFit="1" customWidth="1"/>
    <col min="6658" max="6658" width="1.375" style="615" customWidth="1"/>
    <col min="6659" max="6659" width="55.75" style="615" customWidth="1"/>
    <col min="6660" max="6660" width="4.5" style="615" customWidth="1"/>
    <col min="6661" max="6661" width="14.5" style="615" customWidth="1"/>
    <col min="6662" max="6662" width="10.75" style="615" customWidth="1"/>
    <col min="6663" max="6663" width="16.5" style="615" customWidth="1"/>
    <col min="6664" max="6664" width="7.875" style="615" bestFit="1" customWidth="1"/>
    <col min="6665" max="6665" width="10.75" style="615" bestFit="1" customWidth="1"/>
    <col min="6666" max="6666" width="20.125" style="615" customWidth="1"/>
    <col min="6667" max="6667" width="9.25" style="615" bestFit="1" customWidth="1"/>
    <col min="6668" max="6668" width="10" style="615" customWidth="1"/>
    <col min="6669" max="6669" width="9.75" style="615" bestFit="1" customWidth="1"/>
    <col min="6670" max="6670" width="18.625" style="615" customWidth="1"/>
    <col min="6671" max="6671" width="8.375" style="615" customWidth="1"/>
    <col min="6672" max="6672" width="9.75" style="615" bestFit="1" customWidth="1"/>
    <col min="6673" max="6673" width="18.625" style="615" customWidth="1"/>
    <col min="6674" max="6674" width="7.75" style="615" bestFit="1" customWidth="1"/>
    <col min="6675" max="6676" width="9" style="615"/>
    <col min="6677" max="6677" width="15.875" style="615" customWidth="1"/>
    <col min="6678" max="6912" width="9" style="615"/>
    <col min="6913" max="6913" width="8.625" style="615" bestFit="1" customWidth="1"/>
    <col min="6914" max="6914" width="1.375" style="615" customWidth="1"/>
    <col min="6915" max="6915" width="55.75" style="615" customWidth="1"/>
    <col min="6916" max="6916" width="4.5" style="615" customWidth="1"/>
    <col min="6917" max="6917" width="14.5" style="615" customWidth="1"/>
    <col min="6918" max="6918" width="10.75" style="615" customWidth="1"/>
    <col min="6919" max="6919" width="16.5" style="615" customWidth="1"/>
    <col min="6920" max="6920" width="7.875" style="615" bestFit="1" customWidth="1"/>
    <col min="6921" max="6921" width="10.75" style="615" bestFit="1" customWidth="1"/>
    <col min="6922" max="6922" width="20.125" style="615" customWidth="1"/>
    <col min="6923" max="6923" width="9.25" style="615" bestFit="1" customWidth="1"/>
    <col min="6924" max="6924" width="10" style="615" customWidth="1"/>
    <col min="6925" max="6925" width="9.75" style="615" bestFit="1" customWidth="1"/>
    <col min="6926" max="6926" width="18.625" style="615" customWidth="1"/>
    <col min="6927" max="6927" width="8.375" style="615" customWidth="1"/>
    <col min="6928" max="6928" width="9.75" style="615" bestFit="1" customWidth="1"/>
    <col min="6929" max="6929" width="18.625" style="615" customWidth="1"/>
    <col min="6930" max="6930" width="7.75" style="615" bestFit="1" customWidth="1"/>
    <col min="6931" max="6932" width="9" style="615"/>
    <col min="6933" max="6933" width="15.875" style="615" customWidth="1"/>
    <col min="6934" max="7168" width="9" style="615"/>
    <col min="7169" max="7169" width="8.625" style="615" bestFit="1" customWidth="1"/>
    <col min="7170" max="7170" width="1.375" style="615" customWidth="1"/>
    <col min="7171" max="7171" width="55.75" style="615" customWidth="1"/>
    <col min="7172" max="7172" width="4.5" style="615" customWidth="1"/>
    <col min="7173" max="7173" width="14.5" style="615" customWidth="1"/>
    <col min="7174" max="7174" width="10.75" style="615" customWidth="1"/>
    <col min="7175" max="7175" width="16.5" style="615" customWidth="1"/>
    <col min="7176" max="7176" width="7.875" style="615" bestFit="1" customWidth="1"/>
    <col min="7177" max="7177" width="10.75" style="615" bestFit="1" customWidth="1"/>
    <col min="7178" max="7178" width="20.125" style="615" customWidth="1"/>
    <col min="7179" max="7179" width="9.25" style="615" bestFit="1" customWidth="1"/>
    <col min="7180" max="7180" width="10" style="615" customWidth="1"/>
    <col min="7181" max="7181" width="9.75" style="615" bestFit="1" customWidth="1"/>
    <col min="7182" max="7182" width="18.625" style="615" customWidth="1"/>
    <col min="7183" max="7183" width="8.375" style="615" customWidth="1"/>
    <col min="7184" max="7184" width="9.75" style="615" bestFit="1" customWidth="1"/>
    <col min="7185" max="7185" width="18.625" style="615" customWidth="1"/>
    <col min="7186" max="7186" width="7.75" style="615" bestFit="1" customWidth="1"/>
    <col min="7187" max="7188" width="9" style="615"/>
    <col min="7189" max="7189" width="15.875" style="615" customWidth="1"/>
    <col min="7190" max="7424" width="9" style="615"/>
    <col min="7425" max="7425" width="8.625" style="615" bestFit="1" customWidth="1"/>
    <col min="7426" max="7426" width="1.375" style="615" customWidth="1"/>
    <col min="7427" max="7427" width="55.75" style="615" customWidth="1"/>
    <col min="7428" max="7428" width="4.5" style="615" customWidth="1"/>
    <col min="7429" max="7429" width="14.5" style="615" customWidth="1"/>
    <col min="7430" max="7430" width="10.75" style="615" customWidth="1"/>
    <col min="7431" max="7431" width="16.5" style="615" customWidth="1"/>
    <col min="7432" max="7432" width="7.875" style="615" bestFit="1" customWidth="1"/>
    <col min="7433" max="7433" width="10.75" style="615" bestFit="1" customWidth="1"/>
    <col min="7434" max="7434" width="20.125" style="615" customWidth="1"/>
    <col min="7435" max="7435" width="9.25" style="615" bestFit="1" customWidth="1"/>
    <col min="7436" max="7436" width="10" style="615" customWidth="1"/>
    <col min="7437" max="7437" width="9.75" style="615" bestFit="1" customWidth="1"/>
    <col min="7438" max="7438" width="18.625" style="615" customWidth="1"/>
    <col min="7439" max="7439" width="8.375" style="615" customWidth="1"/>
    <col min="7440" max="7440" width="9.75" style="615" bestFit="1" customWidth="1"/>
    <col min="7441" max="7441" width="18.625" style="615" customWidth="1"/>
    <col min="7442" max="7442" width="7.75" style="615" bestFit="1" customWidth="1"/>
    <col min="7443" max="7444" width="9" style="615"/>
    <col min="7445" max="7445" width="15.875" style="615" customWidth="1"/>
    <col min="7446" max="7680" width="9" style="615"/>
    <col min="7681" max="7681" width="8.625" style="615" bestFit="1" customWidth="1"/>
    <col min="7682" max="7682" width="1.375" style="615" customWidth="1"/>
    <col min="7683" max="7683" width="55.75" style="615" customWidth="1"/>
    <col min="7684" max="7684" width="4.5" style="615" customWidth="1"/>
    <col min="7685" max="7685" width="14.5" style="615" customWidth="1"/>
    <col min="7686" max="7686" width="10.75" style="615" customWidth="1"/>
    <col min="7687" max="7687" width="16.5" style="615" customWidth="1"/>
    <col min="7688" max="7688" width="7.875" style="615" bestFit="1" customWidth="1"/>
    <col min="7689" max="7689" width="10.75" style="615" bestFit="1" customWidth="1"/>
    <col min="7690" max="7690" width="20.125" style="615" customWidth="1"/>
    <col min="7691" max="7691" width="9.25" style="615" bestFit="1" customWidth="1"/>
    <col min="7692" max="7692" width="10" style="615" customWidth="1"/>
    <col min="7693" max="7693" width="9.75" style="615" bestFit="1" customWidth="1"/>
    <col min="7694" max="7694" width="18.625" style="615" customWidth="1"/>
    <col min="7695" max="7695" width="8.375" style="615" customWidth="1"/>
    <col min="7696" max="7696" width="9.75" style="615" bestFit="1" customWidth="1"/>
    <col min="7697" max="7697" width="18.625" style="615" customWidth="1"/>
    <col min="7698" max="7698" width="7.75" style="615" bestFit="1" customWidth="1"/>
    <col min="7699" max="7700" width="9" style="615"/>
    <col min="7701" max="7701" width="15.875" style="615" customWidth="1"/>
    <col min="7702" max="7936" width="9" style="615"/>
    <col min="7937" max="7937" width="8.625" style="615" bestFit="1" customWidth="1"/>
    <col min="7938" max="7938" width="1.375" style="615" customWidth="1"/>
    <col min="7939" max="7939" width="55.75" style="615" customWidth="1"/>
    <col min="7940" max="7940" width="4.5" style="615" customWidth="1"/>
    <col min="7941" max="7941" width="14.5" style="615" customWidth="1"/>
    <col min="7942" max="7942" width="10.75" style="615" customWidth="1"/>
    <col min="7943" max="7943" width="16.5" style="615" customWidth="1"/>
    <col min="7944" max="7944" width="7.875" style="615" bestFit="1" customWidth="1"/>
    <col min="7945" max="7945" width="10.75" style="615" bestFit="1" customWidth="1"/>
    <col min="7946" max="7946" width="20.125" style="615" customWidth="1"/>
    <col min="7947" max="7947" width="9.25" style="615" bestFit="1" customWidth="1"/>
    <col min="7948" max="7948" width="10" style="615" customWidth="1"/>
    <col min="7949" max="7949" width="9.75" style="615" bestFit="1" customWidth="1"/>
    <col min="7950" max="7950" width="18.625" style="615" customWidth="1"/>
    <col min="7951" max="7951" width="8.375" style="615" customWidth="1"/>
    <col min="7952" max="7952" width="9.75" style="615" bestFit="1" customWidth="1"/>
    <col min="7953" max="7953" width="18.625" style="615" customWidth="1"/>
    <col min="7954" max="7954" width="7.75" style="615" bestFit="1" customWidth="1"/>
    <col min="7955" max="7956" width="9" style="615"/>
    <col min="7957" max="7957" width="15.875" style="615" customWidth="1"/>
    <col min="7958" max="8192" width="9" style="615"/>
    <col min="8193" max="8193" width="8.625" style="615" bestFit="1" customWidth="1"/>
    <col min="8194" max="8194" width="1.375" style="615" customWidth="1"/>
    <col min="8195" max="8195" width="55.75" style="615" customWidth="1"/>
    <col min="8196" max="8196" width="4.5" style="615" customWidth="1"/>
    <col min="8197" max="8197" width="14.5" style="615" customWidth="1"/>
    <col min="8198" max="8198" width="10.75" style="615" customWidth="1"/>
    <col min="8199" max="8199" width="16.5" style="615" customWidth="1"/>
    <col min="8200" max="8200" width="7.875" style="615" bestFit="1" customWidth="1"/>
    <col min="8201" max="8201" width="10.75" style="615" bestFit="1" customWidth="1"/>
    <col min="8202" max="8202" width="20.125" style="615" customWidth="1"/>
    <col min="8203" max="8203" width="9.25" style="615" bestFit="1" customWidth="1"/>
    <col min="8204" max="8204" width="10" style="615" customWidth="1"/>
    <col min="8205" max="8205" width="9.75" style="615" bestFit="1" customWidth="1"/>
    <col min="8206" max="8206" width="18.625" style="615" customWidth="1"/>
    <col min="8207" max="8207" width="8.375" style="615" customWidth="1"/>
    <col min="8208" max="8208" width="9.75" style="615" bestFit="1" customWidth="1"/>
    <col min="8209" max="8209" width="18.625" style="615" customWidth="1"/>
    <col min="8210" max="8210" width="7.75" style="615" bestFit="1" customWidth="1"/>
    <col min="8211" max="8212" width="9" style="615"/>
    <col min="8213" max="8213" width="15.875" style="615" customWidth="1"/>
    <col min="8214" max="8448" width="9" style="615"/>
    <col min="8449" max="8449" width="8.625" style="615" bestFit="1" customWidth="1"/>
    <col min="8450" max="8450" width="1.375" style="615" customWidth="1"/>
    <col min="8451" max="8451" width="55.75" style="615" customWidth="1"/>
    <col min="8452" max="8452" width="4.5" style="615" customWidth="1"/>
    <col min="8453" max="8453" width="14.5" style="615" customWidth="1"/>
    <col min="8454" max="8454" width="10.75" style="615" customWidth="1"/>
    <col min="8455" max="8455" width="16.5" style="615" customWidth="1"/>
    <col min="8456" max="8456" width="7.875" style="615" bestFit="1" customWidth="1"/>
    <col min="8457" max="8457" width="10.75" style="615" bestFit="1" customWidth="1"/>
    <col min="8458" max="8458" width="20.125" style="615" customWidth="1"/>
    <col min="8459" max="8459" width="9.25" style="615" bestFit="1" customWidth="1"/>
    <col min="8460" max="8460" width="10" style="615" customWidth="1"/>
    <col min="8461" max="8461" width="9.75" style="615" bestFit="1" customWidth="1"/>
    <col min="8462" max="8462" width="18.625" style="615" customWidth="1"/>
    <col min="8463" max="8463" width="8.375" style="615" customWidth="1"/>
    <col min="8464" max="8464" width="9.75" style="615" bestFit="1" customWidth="1"/>
    <col min="8465" max="8465" width="18.625" style="615" customWidth="1"/>
    <col min="8466" max="8466" width="7.75" style="615" bestFit="1" customWidth="1"/>
    <col min="8467" max="8468" width="9" style="615"/>
    <col min="8469" max="8469" width="15.875" style="615" customWidth="1"/>
    <col min="8470" max="8704" width="9" style="615"/>
    <col min="8705" max="8705" width="8.625" style="615" bestFit="1" customWidth="1"/>
    <col min="8706" max="8706" width="1.375" style="615" customWidth="1"/>
    <col min="8707" max="8707" width="55.75" style="615" customWidth="1"/>
    <col min="8708" max="8708" width="4.5" style="615" customWidth="1"/>
    <col min="8709" max="8709" width="14.5" style="615" customWidth="1"/>
    <col min="8710" max="8710" width="10.75" style="615" customWidth="1"/>
    <col min="8711" max="8711" width="16.5" style="615" customWidth="1"/>
    <col min="8712" max="8712" width="7.875" style="615" bestFit="1" customWidth="1"/>
    <col min="8713" max="8713" width="10.75" style="615" bestFit="1" customWidth="1"/>
    <col min="8714" max="8714" width="20.125" style="615" customWidth="1"/>
    <col min="8715" max="8715" width="9.25" style="615" bestFit="1" customWidth="1"/>
    <col min="8716" max="8716" width="10" style="615" customWidth="1"/>
    <col min="8717" max="8717" width="9.75" style="615" bestFit="1" customWidth="1"/>
    <col min="8718" max="8718" width="18.625" style="615" customWidth="1"/>
    <col min="8719" max="8719" width="8.375" style="615" customWidth="1"/>
    <col min="8720" max="8720" width="9.75" style="615" bestFit="1" customWidth="1"/>
    <col min="8721" max="8721" width="18.625" style="615" customWidth="1"/>
    <col min="8722" max="8722" width="7.75" style="615" bestFit="1" customWidth="1"/>
    <col min="8723" max="8724" width="9" style="615"/>
    <col min="8725" max="8725" width="15.875" style="615" customWidth="1"/>
    <col min="8726" max="8960" width="9" style="615"/>
    <col min="8961" max="8961" width="8.625" style="615" bestFit="1" customWidth="1"/>
    <col min="8962" max="8962" width="1.375" style="615" customWidth="1"/>
    <col min="8963" max="8963" width="55.75" style="615" customWidth="1"/>
    <col min="8964" max="8964" width="4.5" style="615" customWidth="1"/>
    <col min="8965" max="8965" width="14.5" style="615" customWidth="1"/>
    <col min="8966" max="8966" width="10.75" style="615" customWidth="1"/>
    <col min="8967" max="8967" width="16.5" style="615" customWidth="1"/>
    <col min="8968" max="8968" width="7.875" style="615" bestFit="1" customWidth="1"/>
    <col min="8969" max="8969" width="10.75" style="615" bestFit="1" customWidth="1"/>
    <col min="8970" max="8970" width="20.125" style="615" customWidth="1"/>
    <col min="8971" max="8971" width="9.25" style="615" bestFit="1" customWidth="1"/>
    <col min="8972" max="8972" width="10" style="615" customWidth="1"/>
    <col min="8973" max="8973" width="9.75" style="615" bestFit="1" customWidth="1"/>
    <col min="8974" max="8974" width="18.625" style="615" customWidth="1"/>
    <col min="8975" max="8975" width="8.375" style="615" customWidth="1"/>
    <col min="8976" max="8976" width="9.75" style="615" bestFit="1" customWidth="1"/>
    <col min="8977" max="8977" width="18.625" style="615" customWidth="1"/>
    <col min="8978" max="8978" width="7.75" style="615" bestFit="1" customWidth="1"/>
    <col min="8979" max="8980" width="9" style="615"/>
    <col min="8981" max="8981" width="15.875" style="615" customWidth="1"/>
    <col min="8982" max="9216" width="9" style="615"/>
    <col min="9217" max="9217" width="8.625" style="615" bestFit="1" customWidth="1"/>
    <col min="9218" max="9218" width="1.375" style="615" customWidth="1"/>
    <col min="9219" max="9219" width="55.75" style="615" customWidth="1"/>
    <col min="9220" max="9220" width="4.5" style="615" customWidth="1"/>
    <col min="9221" max="9221" width="14.5" style="615" customWidth="1"/>
    <col min="9222" max="9222" width="10.75" style="615" customWidth="1"/>
    <col min="9223" max="9223" width="16.5" style="615" customWidth="1"/>
    <col min="9224" max="9224" width="7.875" style="615" bestFit="1" customWidth="1"/>
    <col min="9225" max="9225" width="10.75" style="615" bestFit="1" customWidth="1"/>
    <col min="9226" max="9226" width="20.125" style="615" customWidth="1"/>
    <col min="9227" max="9227" width="9.25" style="615" bestFit="1" customWidth="1"/>
    <col min="9228" max="9228" width="10" style="615" customWidth="1"/>
    <col min="9229" max="9229" width="9.75" style="615" bestFit="1" customWidth="1"/>
    <col min="9230" max="9230" width="18.625" style="615" customWidth="1"/>
    <col min="9231" max="9231" width="8.375" style="615" customWidth="1"/>
    <col min="9232" max="9232" width="9.75" style="615" bestFit="1" customWidth="1"/>
    <col min="9233" max="9233" width="18.625" style="615" customWidth="1"/>
    <col min="9234" max="9234" width="7.75" style="615" bestFit="1" customWidth="1"/>
    <col min="9235" max="9236" width="9" style="615"/>
    <col min="9237" max="9237" width="15.875" style="615" customWidth="1"/>
    <col min="9238" max="9472" width="9" style="615"/>
    <col min="9473" max="9473" width="8.625" style="615" bestFit="1" customWidth="1"/>
    <col min="9474" max="9474" width="1.375" style="615" customWidth="1"/>
    <col min="9475" max="9475" width="55.75" style="615" customWidth="1"/>
    <col min="9476" max="9476" width="4.5" style="615" customWidth="1"/>
    <col min="9477" max="9477" width="14.5" style="615" customWidth="1"/>
    <col min="9478" max="9478" width="10.75" style="615" customWidth="1"/>
    <col min="9479" max="9479" width="16.5" style="615" customWidth="1"/>
    <col min="9480" max="9480" width="7.875" style="615" bestFit="1" customWidth="1"/>
    <col min="9481" max="9481" width="10.75" style="615" bestFit="1" customWidth="1"/>
    <col min="9482" max="9482" width="20.125" style="615" customWidth="1"/>
    <col min="9483" max="9483" width="9.25" style="615" bestFit="1" customWidth="1"/>
    <col min="9484" max="9484" width="10" style="615" customWidth="1"/>
    <col min="9485" max="9485" width="9.75" style="615" bestFit="1" customWidth="1"/>
    <col min="9486" max="9486" width="18.625" style="615" customWidth="1"/>
    <col min="9487" max="9487" width="8.375" style="615" customWidth="1"/>
    <col min="9488" max="9488" width="9.75" style="615" bestFit="1" customWidth="1"/>
    <col min="9489" max="9489" width="18.625" style="615" customWidth="1"/>
    <col min="9490" max="9490" width="7.75" style="615" bestFit="1" customWidth="1"/>
    <col min="9491" max="9492" width="9" style="615"/>
    <col min="9493" max="9493" width="15.875" style="615" customWidth="1"/>
    <col min="9494" max="9728" width="9" style="615"/>
    <col min="9729" max="9729" width="8.625" style="615" bestFit="1" customWidth="1"/>
    <col min="9730" max="9730" width="1.375" style="615" customWidth="1"/>
    <col min="9731" max="9731" width="55.75" style="615" customWidth="1"/>
    <col min="9732" max="9732" width="4.5" style="615" customWidth="1"/>
    <col min="9733" max="9733" width="14.5" style="615" customWidth="1"/>
    <col min="9734" max="9734" width="10.75" style="615" customWidth="1"/>
    <col min="9735" max="9735" width="16.5" style="615" customWidth="1"/>
    <col min="9736" max="9736" width="7.875" style="615" bestFit="1" customWidth="1"/>
    <col min="9737" max="9737" width="10.75" style="615" bestFit="1" customWidth="1"/>
    <col min="9738" max="9738" width="20.125" style="615" customWidth="1"/>
    <col min="9739" max="9739" width="9.25" style="615" bestFit="1" customWidth="1"/>
    <col min="9740" max="9740" width="10" style="615" customWidth="1"/>
    <col min="9741" max="9741" width="9.75" style="615" bestFit="1" customWidth="1"/>
    <col min="9742" max="9742" width="18.625" style="615" customWidth="1"/>
    <col min="9743" max="9743" width="8.375" style="615" customWidth="1"/>
    <col min="9744" max="9744" width="9.75" style="615" bestFit="1" customWidth="1"/>
    <col min="9745" max="9745" width="18.625" style="615" customWidth="1"/>
    <col min="9746" max="9746" width="7.75" style="615" bestFit="1" customWidth="1"/>
    <col min="9747" max="9748" width="9" style="615"/>
    <col min="9749" max="9749" width="15.875" style="615" customWidth="1"/>
    <col min="9750" max="9984" width="9" style="615"/>
    <col min="9985" max="9985" width="8.625" style="615" bestFit="1" customWidth="1"/>
    <col min="9986" max="9986" width="1.375" style="615" customWidth="1"/>
    <col min="9987" max="9987" width="55.75" style="615" customWidth="1"/>
    <col min="9988" max="9988" width="4.5" style="615" customWidth="1"/>
    <col min="9989" max="9989" width="14.5" style="615" customWidth="1"/>
    <col min="9990" max="9990" width="10.75" style="615" customWidth="1"/>
    <col min="9991" max="9991" width="16.5" style="615" customWidth="1"/>
    <col min="9992" max="9992" width="7.875" style="615" bestFit="1" customWidth="1"/>
    <col min="9993" max="9993" width="10.75" style="615" bestFit="1" customWidth="1"/>
    <col min="9994" max="9994" width="20.125" style="615" customWidth="1"/>
    <col min="9995" max="9995" width="9.25" style="615" bestFit="1" customWidth="1"/>
    <col min="9996" max="9996" width="10" style="615" customWidth="1"/>
    <col min="9997" max="9997" width="9.75" style="615" bestFit="1" customWidth="1"/>
    <col min="9998" max="9998" width="18.625" style="615" customWidth="1"/>
    <col min="9999" max="9999" width="8.375" style="615" customWidth="1"/>
    <col min="10000" max="10000" width="9.75" style="615" bestFit="1" customWidth="1"/>
    <col min="10001" max="10001" width="18.625" style="615" customWidth="1"/>
    <col min="10002" max="10002" width="7.75" style="615" bestFit="1" customWidth="1"/>
    <col min="10003" max="10004" width="9" style="615"/>
    <col min="10005" max="10005" width="15.875" style="615" customWidth="1"/>
    <col min="10006" max="10240" width="9" style="615"/>
    <col min="10241" max="10241" width="8.625" style="615" bestFit="1" customWidth="1"/>
    <col min="10242" max="10242" width="1.375" style="615" customWidth="1"/>
    <col min="10243" max="10243" width="55.75" style="615" customWidth="1"/>
    <col min="10244" max="10244" width="4.5" style="615" customWidth="1"/>
    <col min="10245" max="10245" width="14.5" style="615" customWidth="1"/>
    <col min="10246" max="10246" width="10.75" style="615" customWidth="1"/>
    <col min="10247" max="10247" width="16.5" style="615" customWidth="1"/>
    <col min="10248" max="10248" width="7.875" style="615" bestFit="1" customWidth="1"/>
    <col min="10249" max="10249" width="10.75" style="615" bestFit="1" customWidth="1"/>
    <col min="10250" max="10250" width="20.125" style="615" customWidth="1"/>
    <col min="10251" max="10251" width="9.25" style="615" bestFit="1" customWidth="1"/>
    <col min="10252" max="10252" width="10" style="615" customWidth="1"/>
    <col min="10253" max="10253" width="9.75" style="615" bestFit="1" customWidth="1"/>
    <col min="10254" max="10254" width="18.625" style="615" customWidth="1"/>
    <col min="10255" max="10255" width="8.375" style="615" customWidth="1"/>
    <col min="10256" max="10256" width="9.75" style="615" bestFit="1" customWidth="1"/>
    <col min="10257" max="10257" width="18.625" style="615" customWidth="1"/>
    <col min="10258" max="10258" width="7.75" style="615" bestFit="1" customWidth="1"/>
    <col min="10259" max="10260" width="9" style="615"/>
    <col min="10261" max="10261" width="15.875" style="615" customWidth="1"/>
    <col min="10262" max="10496" width="9" style="615"/>
    <col min="10497" max="10497" width="8.625" style="615" bestFit="1" customWidth="1"/>
    <col min="10498" max="10498" width="1.375" style="615" customWidth="1"/>
    <col min="10499" max="10499" width="55.75" style="615" customWidth="1"/>
    <col min="10500" max="10500" width="4.5" style="615" customWidth="1"/>
    <col min="10501" max="10501" width="14.5" style="615" customWidth="1"/>
    <col min="10502" max="10502" width="10.75" style="615" customWidth="1"/>
    <col min="10503" max="10503" width="16.5" style="615" customWidth="1"/>
    <col min="10504" max="10504" width="7.875" style="615" bestFit="1" customWidth="1"/>
    <col min="10505" max="10505" width="10.75" style="615" bestFit="1" customWidth="1"/>
    <col min="10506" max="10506" width="20.125" style="615" customWidth="1"/>
    <col min="10507" max="10507" width="9.25" style="615" bestFit="1" customWidth="1"/>
    <col min="10508" max="10508" width="10" style="615" customWidth="1"/>
    <col min="10509" max="10509" width="9.75" style="615" bestFit="1" customWidth="1"/>
    <col min="10510" max="10510" width="18.625" style="615" customWidth="1"/>
    <col min="10511" max="10511" width="8.375" style="615" customWidth="1"/>
    <col min="10512" max="10512" width="9.75" style="615" bestFit="1" customWidth="1"/>
    <col min="10513" max="10513" width="18.625" style="615" customWidth="1"/>
    <col min="10514" max="10514" width="7.75" style="615" bestFit="1" customWidth="1"/>
    <col min="10515" max="10516" width="9" style="615"/>
    <col min="10517" max="10517" width="15.875" style="615" customWidth="1"/>
    <col min="10518" max="10752" width="9" style="615"/>
    <col min="10753" max="10753" width="8.625" style="615" bestFit="1" customWidth="1"/>
    <col min="10754" max="10754" width="1.375" style="615" customWidth="1"/>
    <col min="10755" max="10755" width="55.75" style="615" customWidth="1"/>
    <col min="10756" max="10756" width="4.5" style="615" customWidth="1"/>
    <col min="10757" max="10757" width="14.5" style="615" customWidth="1"/>
    <col min="10758" max="10758" width="10.75" style="615" customWidth="1"/>
    <col min="10759" max="10759" width="16.5" style="615" customWidth="1"/>
    <col min="10760" max="10760" width="7.875" style="615" bestFit="1" customWidth="1"/>
    <col min="10761" max="10761" width="10.75" style="615" bestFit="1" customWidth="1"/>
    <col min="10762" max="10762" width="20.125" style="615" customWidth="1"/>
    <col min="10763" max="10763" width="9.25" style="615" bestFit="1" customWidth="1"/>
    <col min="10764" max="10764" width="10" style="615" customWidth="1"/>
    <col min="10765" max="10765" width="9.75" style="615" bestFit="1" customWidth="1"/>
    <col min="10766" max="10766" width="18.625" style="615" customWidth="1"/>
    <col min="10767" max="10767" width="8.375" style="615" customWidth="1"/>
    <col min="10768" max="10768" width="9.75" style="615" bestFit="1" customWidth="1"/>
    <col min="10769" max="10769" width="18.625" style="615" customWidth="1"/>
    <col min="10770" max="10770" width="7.75" style="615" bestFit="1" customWidth="1"/>
    <col min="10771" max="10772" width="9" style="615"/>
    <col min="10773" max="10773" width="15.875" style="615" customWidth="1"/>
    <col min="10774" max="11008" width="9" style="615"/>
    <col min="11009" max="11009" width="8.625" style="615" bestFit="1" customWidth="1"/>
    <col min="11010" max="11010" width="1.375" style="615" customWidth="1"/>
    <col min="11011" max="11011" width="55.75" style="615" customWidth="1"/>
    <col min="11012" max="11012" width="4.5" style="615" customWidth="1"/>
    <col min="11013" max="11013" width="14.5" style="615" customWidth="1"/>
    <col min="11014" max="11014" width="10.75" style="615" customWidth="1"/>
    <col min="11015" max="11015" width="16.5" style="615" customWidth="1"/>
    <col min="11016" max="11016" width="7.875" style="615" bestFit="1" customWidth="1"/>
    <col min="11017" max="11017" width="10.75" style="615" bestFit="1" customWidth="1"/>
    <col min="11018" max="11018" width="20.125" style="615" customWidth="1"/>
    <col min="11019" max="11019" width="9.25" style="615" bestFit="1" customWidth="1"/>
    <col min="11020" max="11020" width="10" style="615" customWidth="1"/>
    <col min="11021" max="11021" width="9.75" style="615" bestFit="1" customWidth="1"/>
    <col min="11022" max="11022" width="18.625" style="615" customWidth="1"/>
    <col min="11023" max="11023" width="8.375" style="615" customWidth="1"/>
    <col min="11024" max="11024" width="9.75" style="615" bestFit="1" customWidth="1"/>
    <col min="11025" max="11025" width="18.625" style="615" customWidth="1"/>
    <col min="11026" max="11026" width="7.75" style="615" bestFit="1" customWidth="1"/>
    <col min="11027" max="11028" width="9" style="615"/>
    <col min="11029" max="11029" width="15.875" style="615" customWidth="1"/>
    <col min="11030" max="11264" width="9" style="615"/>
    <col min="11265" max="11265" width="8.625" style="615" bestFit="1" customWidth="1"/>
    <col min="11266" max="11266" width="1.375" style="615" customWidth="1"/>
    <col min="11267" max="11267" width="55.75" style="615" customWidth="1"/>
    <col min="11268" max="11268" width="4.5" style="615" customWidth="1"/>
    <col min="11269" max="11269" width="14.5" style="615" customWidth="1"/>
    <col min="11270" max="11270" width="10.75" style="615" customWidth="1"/>
    <col min="11271" max="11271" width="16.5" style="615" customWidth="1"/>
    <col min="11272" max="11272" width="7.875" style="615" bestFit="1" customWidth="1"/>
    <col min="11273" max="11273" width="10.75" style="615" bestFit="1" customWidth="1"/>
    <col min="11274" max="11274" width="20.125" style="615" customWidth="1"/>
    <col min="11275" max="11275" width="9.25" style="615" bestFit="1" customWidth="1"/>
    <col min="11276" max="11276" width="10" style="615" customWidth="1"/>
    <col min="11277" max="11277" width="9.75" style="615" bestFit="1" customWidth="1"/>
    <col min="11278" max="11278" width="18.625" style="615" customWidth="1"/>
    <col min="11279" max="11279" width="8.375" style="615" customWidth="1"/>
    <col min="11280" max="11280" width="9.75" style="615" bestFit="1" customWidth="1"/>
    <col min="11281" max="11281" width="18.625" style="615" customWidth="1"/>
    <col min="11282" max="11282" width="7.75" style="615" bestFit="1" customWidth="1"/>
    <col min="11283" max="11284" width="9" style="615"/>
    <col min="11285" max="11285" width="15.875" style="615" customWidth="1"/>
    <col min="11286" max="11520" width="9" style="615"/>
    <col min="11521" max="11521" width="8.625" style="615" bestFit="1" customWidth="1"/>
    <col min="11522" max="11522" width="1.375" style="615" customWidth="1"/>
    <col min="11523" max="11523" width="55.75" style="615" customWidth="1"/>
    <col min="11524" max="11524" width="4.5" style="615" customWidth="1"/>
    <col min="11525" max="11525" width="14.5" style="615" customWidth="1"/>
    <col min="11526" max="11526" width="10.75" style="615" customWidth="1"/>
    <col min="11527" max="11527" width="16.5" style="615" customWidth="1"/>
    <col min="11528" max="11528" width="7.875" style="615" bestFit="1" customWidth="1"/>
    <col min="11529" max="11529" width="10.75" style="615" bestFit="1" customWidth="1"/>
    <col min="11530" max="11530" width="20.125" style="615" customWidth="1"/>
    <col min="11531" max="11531" width="9.25" style="615" bestFit="1" customWidth="1"/>
    <col min="11532" max="11532" width="10" style="615" customWidth="1"/>
    <col min="11533" max="11533" width="9.75" style="615" bestFit="1" customWidth="1"/>
    <col min="11534" max="11534" width="18.625" style="615" customWidth="1"/>
    <col min="11535" max="11535" width="8.375" style="615" customWidth="1"/>
    <col min="11536" max="11536" width="9.75" style="615" bestFit="1" customWidth="1"/>
    <col min="11537" max="11537" width="18.625" style="615" customWidth="1"/>
    <col min="11538" max="11538" width="7.75" style="615" bestFit="1" customWidth="1"/>
    <col min="11539" max="11540" width="9" style="615"/>
    <col min="11541" max="11541" width="15.875" style="615" customWidth="1"/>
    <col min="11542" max="11776" width="9" style="615"/>
    <col min="11777" max="11777" width="8.625" style="615" bestFit="1" customWidth="1"/>
    <col min="11778" max="11778" width="1.375" style="615" customWidth="1"/>
    <col min="11779" max="11779" width="55.75" style="615" customWidth="1"/>
    <col min="11780" max="11780" width="4.5" style="615" customWidth="1"/>
    <col min="11781" max="11781" width="14.5" style="615" customWidth="1"/>
    <col min="11782" max="11782" width="10.75" style="615" customWidth="1"/>
    <col min="11783" max="11783" width="16.5" style="615" customWidth="1"/>
    <col min="11784" max="11784" width="7.875" style="615" bestFit="1" customWidth="1"/>
    <col min="11785" max="11785" width="10.75" style="615" bestFit="1" customWidth="1"/>
    <col min="11786" max="11786" width="20.125" style="615" customWidth="1"/>
    <col min="11787" max="11787" width="9.25" style="615" bestFit="1" customWidth="1"/>
    <col min="11788" max="11788" width="10" style="615" customWidth="1"/>
    <col min="11789" max="11789" width="9.75" style="615" bestFit="1" customWidth="1"/>
    <col min="11790" max="11790" width="18.625" style="615" customWidth="1"/>
    <col min="11791" max="11791" width="8.375" style="615" customWidth="1"/>
    <col min="11792" max="11792" width="9.75" style="615" bestFit="1" customWidth="1"/>
    <col min="11793" max="11793" width="18.625" style="615" customWidth="1"/>
    <col min="11794" max="11794" width="7.75" style="615" bestFit="1" customWidth="1"/>
    <col min="11795" max="11796" width="9" style="615"/>
    <col min="11797" max="11797" width="15.875" style="615" customWidth="1"/>
    <col min="11798" max="12032" width="9" style="615"/>
    <col min="12033" max="12033" width="8.625" style="615" bestFit="1" customWidth="1"/>
    <col min="12034" max="12034" width="1.375" style="615" customWidth="1"/>
    <col min="12035" max="12035" width="55.75" style="615" customWidth="1"/>
    <col min="12036" max="12036" width="4.5" style="615" customWidth="1"/>
    <col min="12037" max="12037" width="14.5" style="615" customWidth="1"/>
    <col min="12038" max="12038" width="10.75" style="615" customWidth="1"/>
    <col min="12039" max="12039" width="16.5" style="615" customWidth="1"/>
    <col min="12040" max="12040" width="7.875" style="615" bestFit="1" customWidth="1"/>
    <col min="12041" max="12041" width="10.75" style="615" bestFit="1" customWidth="1"/>
    <col min="12042" max="12042" width="20.125" style="615" customWidth="1"/>
    <col min="12043" max="12043" width="9.25" style="615" bestFit="1" customWidth="1"/>
    <col min="12044" max="12044" width="10" style="615" customWidth="1"/>
    <col min="12045" max="12045" width="9.75" style="615" bestFit="1" customWidth="1"/>
    <col min="12046" max="12046" width="18.625" style="615" customWidth="1"/>
    <col min="12047" max="12047" width="8.375" style="615" customWidth="1"/>
    <col min="12048" max="12048" width="9.75" style="615" bestFit="1" customWidth="1"/>
    <col min="12049" max="12049" width="18.625" style="615" customWidth="1"/>
    <col min="12050" max="12050" width="7.75" style="615" bestFit="1" customWidth="1"/>
    <col min="12051" max="12052" width="9" style="615"/>
    <col min="12053" max="12053" width="15.875" style="615" customWidth="1"/>
    <col min="12054" max="12288" width="9" style="615"/>
    <col min="12289" max="12289" width="8.625" style="615" bestFit="1" customWidth="1"/>
    <col min="12290" max="12290" width="1.375" style="615" customWidth="1"/>
    <col min="12291" max="12291" width="55.75" style="615" customWidth="1"/>
    <col min="12292" max="12292" width="4.5" style="615" customWidth="1"/>
    <col min="12293" max="12293" width="14.5" style="615" customWidth="1"/>
    <col min="12294" max="12294" width="10.75" style="615" customWidth="1"/>
    <col min="12295" max="12295" width="16.5" style="615" customWidth="1"/>
    <col min="12296" max="12296" width="7.875" style="615" bestFit="1" customWidth="1"/>
    <col min="12297" max="12297" width="10.75" style="615" bestFit="1" customWidth="1"/>
    <col min="12298" max="12298" width="20.125" style="615" customWidth="1"/>
    <col min="12299" max="12299" width="9.25" style="615" bestFit="1" customWidth="1"/>
    <col min="12300" max="12300" width="10" style="615" customWidth="1"/>
    <col min="12301" max="12301" width="9.75" style="615" bestFit="1" customWidth="1"/>
    <col min="12302" max="12302" width="18.625" style="615" customWidth="1"/>
    <col min="12303" max="12303" width="8.375" style="615" customWidth="1"/>
    <col min="12304" max="12304" width="9.75" style="615" bestFit="1" customWidth="1"/>
    <col min="12305" max="12305" width="18.625" style="615" customWidth="1"/>
    <col min="12306" max="12306" width="7.75" style="615" bestFit="1" customWidth="1"/>
    <col min="12307" max="12308" width="9" style="615"/>
    <col min="12309" max="12309" width="15.875" style="615" customWidth="1"/>
    <col min="12310" max="12544" width="9" style="615"/>
    <col min="12545" max="12545" width="8.625" style="615" bestFit="1" customWidth="1"/>
    <col min="12546" max="12546" width="1.375" style="615" customWidth="1"/>
    <col min="12547" max="12547" width="55.75" style="615" customWidth="1"/>
    <col min="12548" max="12548" width="4.5" style="615" customWidth="1"/>
    <col min="12549" max="12549" width="14.5" style="615" customWidth="1"/>
    <col min="12550" max="12550" width="10.75" style="615" customWidth="1"/>
    <col min="12551" max="12551" width="16.5" style="615" customWidth="1"/>
    <col min="12552" max="12552" width="7.875" style="615" bestFit="1" customWidth="1"/>
    <col min="12553" max="12553" width="10.75" style="615" bestFit="1" customWidth="1"/>
    <col min="12554" max="12554" width="20.125" style="615" customWidth="1"/>
    <col min="12555" max="12555" width="9.25" style="615" bestFit="1" customWidth="1"/>
    <col min="12556" max="12556" width="10" style="615" customWidth="1"/>
    <col min="12557" max="12557" width="9.75" style="615" bestFit="1" customWidth="1"/>
    <col min="12558" max="12558" width="18.625" style="615" customWidth="1"/>
    <col min="12559" max="12559" width="8.375" style="615" customWidth="1"/>
    <col min="12560" max="12560" width="9.75" style="615" bestFit="1" customWidth="1"/>
    <col min="12561" max="12561" width="18.625" style="615" customWidth="1"/>
    <col min="12562" max="12562" width="7.75" style="615" bestFit="1" customWidth="1"/>
    <col min="12563" max="12564" width="9" style="615"/>
    <col min="12565" max="12565" width="15.875" style="615" customWidth="1"/>
    <col min="12566" max="12800" width="9" style="615"/>
    <col min="12801" max="12801" width="8.625" style="615" bestFit="1" customWidth="1"/>
    <col min="12802" max="12802" width="1.375" style="615" customWidth="1"/>
    <col min="12803" max="12803" width="55.75" style="615" customWidth="1"/>
    <col min="12804" max="12804" width="4.5" style="615" customWidth="1"/>
    <col min="12805" max="12805" width="14.5" style="615" customWidth="1"/>
    <col min="12806" max="12806" width="10.75" style="615" customWidth="1"/>
    <col min="12807" max="12807" width="16.5" style="615" customWidth="1"/>
    <col min="12808" max="12808" width="7.875" style="615" bestFit="1" customWidth="1"/>
    <col min="12809" max="12809" width="10.75" style="615" bestFit="1" customWidth="1"/>
    <col min="12810" max="12810" width="20.125" style="615" customWidth="1"/>
    <col min="12811" max="12811" width="9.25" style="615" bestFit="1" customWidth="1"/>
    <col min="12812" max="12812" width="10" style="615" customWidth="1"/>
    <col min="12813" max="12813" width="9.75" style="615" bestFit="1" customWidth="1"/>
    <col min="12814" max="12814" width="18.625" style="615" customWidth="1"/>
    <col min="12815" max="12815" width="8.375" style="615" customWidth="1"/>
    <col min="12816" max="12816" width="9.75" style="615" bestFit="1" customWidth="1"/>
    <col min="12817" max="12817" width="18.625" style="615" customWidth="1"/>
    <col min="12818" max="12818" width="7.75" style="615" bestFit="1" customWidth="1"/>
    <col min="12819" max="12820" width="9" style="615"/>
    <col min="12821" max="12821" width="15.875" style="615" customWidth="1"/>
    <col min="12822" max="13056" width="9" style="615"/>
    <col min="13057" max="13057" width="8.625" style="615" bestFit="1" customWidth="1"/>
    <col min="13058" max="13058" width="1.375" style="615" customWidth="1"/>
    <col min="13059" max="13059" width="55.75" style="615" customWidth="1"/>
    <col min="13060" max="13060" width="4.5" style="615" customWidth="1"/>
    <col min="13061" max="13061" width="14.5" style="615" customWidth="1"/>
    <col min="13062" max="13062" width="10.75" style="615" customWidth="1"/>
    <col min="13063" max="13063" width="16.5" style="615" customWidth="1"/>
    <col min="13064" max="13064" width="7.875" style="615" bestFit="1" customWidth="1"/>
    <col min="13065" max="13065" width="10.75" style="615" bestFit="1" customWidth="1"/>
    <col min="13066" max="13066" width="20.125" style="615" customWidth="1"/>
    <col min="13067" max="13067" width="9.25" style="615" bestFit="1" customWidth="1"/>
    <col min="13068" max="13068" width="10" style="615" customWidth="1"/>
    <col min="13069" max="13069" width="9.75" style="615" bestFit="1" customWidth="1"/>
    <col min="13070" max="13070" width="18.625" style="615" customWidth="1"/>
    <col min="13071" max="13071" width="8.375" style="615" customWidth="1"/>
    <col min="13072" max="13072" width="9.75" style="615" bestFit="1" customWidth="1"/>
    <col min="13073" max="13073" width="18.625" style="615" customWidth="1"/>
    <col min="13074" max="13074" width="7.75" style="615" bestFit="1" customWidth="1"/>
    <col min="13075" max="13076" width="9" style="615"/>
    <col min="13077" max="13077" width="15.875" style="615" customWidth="1"/>
    <col min="13078" max="13312" width="9" style="615"/>
    <col min="13313" max="13313" width="8.625" style="615" bestFit="1" customWidth="1"/>
    <col min="13314" max="13314" width="1.375" style="615" customWidth="1"/>
    <col min="13315" max="13315" width="55.75" style="615" customWidth="1"/>
    <col min="13316" max="13316" width="4.5" style="615" customWidth="1"/>
    <col min="13317" max="13317" width="14.5" style="615" customWidth="1"/>
    <col min="13318" max="13318" width="10.75" style="615" customWidth="1"/>
    <col min="13319" max="13319" width="16.5" style="615" customWidth="1"/>
    <col min="13320" max="13320" width="7.875" style="615" bestFit="1" customWidth="1"/>
    <col min="13321" max="13321" width="10.75" style="615" bestFit="1" customWidth="1"/>
    <col min="13322" max="13322" width="20.125" style="615" customWidth="1"/>
    <col min="13323" max="13323" width="9.25" style="615" bestFit="1" customWidth="1"/>
    <col min="13324" max="13324" width="10" style="615" customWidth="1"/>
    <col min="13325" max="13325" width="9.75" style="615" bestFit="1" customWidth="1"/>
    <col min="13326" max="13326" width="18.625" style="615" customWidth="1"/>
    <col min="13327" max="13327" width="8.375" style="615" customWidth="1"/>
    <col min="13328" max="13328" width="9.75" style="615" bestFit="1" customWidth="1"/>
    <col min="13329" max="13329" width="18.625" style="615" customWidth="1"/>
    <col min="13330" max="13330" width="7.75" style="615" bestFit="1" customWidth="1"/>
    <col min="13331" max="13332" width="9" style="615"/>
    <col min="13333" max="13333" width="15.875" style="615" customWidth="1"/>
    <col min="13334" max="13568" width="9" style="615"/>
    <col min="13569" max="13569" width="8.625" style="615" bestFit="1" customWidth="1"/>
    <col min="13570" max="13570" width="1.375" style="615" customWidth="1"/>
    <col min="13571" max="13571" width="55.75" style="615" customWidth="1"/>
    <col min="13572" max="13572" width="4.5" style="615" customWidth="1"/>
    <col min="13573" max="13573" width="14.5" style="615" customWidth="1"/>
    <col min="13574" max="13574" width="10.75" style="615" customWidth="1"/>
    <col min="13575" max="13575" width="16.5" style="615" customWidth="1"/>
    <col min="13576" max="13576" width="7.875" style="615" bestFit="1" customWidth="1"/>
    <col min="13577" max="13577" width="10.75" style="615" bestFit="1" customWidth="1"/>
    <col min="13578" max="13578" width="20.125" style="615" customWidth="1"/>
    <col min="13579" max="13579" width="9.25" style="615" bestFit="1" customWidth="1"/>
    <col min="13580" max="13580" width="10" style="615" customWidth="1"/>
    <col min="13581" max="13581" width="9.75" style="615" bestFit="1" customWidth="1"/>
    <col min="13582" max="13582" width="18.625" style="615" customWidth="1"/>
    <col min="13583" max="13583" width="8.375" style="615" customWidth="1"/>
    <col min="13584" max="13584" width="9.75" style="615" bestFit="1" customWidth="1"/>
    <col min="13585" max="13585" width="18.625" style="615" customWidth="1"/>
    <col min="13586" max="13586" width="7.75" style="615" bestFit="1" customWidth="1"/>
    <col min="13587" max="13588" width="9" style="615"/>
    <col min="13589" max="13589" width="15.875" style="615" customWidth="1"/>
    <col min="13590" max="13824" width="9" style="615"/>
    <col min="13825" max="13825" width="8.625" style="615" bestFit="1" customWidth="1"/>
    <col min="13826" max="13826" width="1.375" style="615" customWidth="1"/>
    <col min="13827" max="13827" width="55.75" style="615" customWidth="1"/>
    <col min="13828" max="13828" width="4.5" style="615" customWidth="1"/>
    <col min="13829" max="13829" width="14.5" style="615" customWidth="1"/>
    <col min="13830" max="13830" width="10.75" style="615" customWidth="1"/>
    <col min="13831" max="13831" width="16.5" style="615" customWidth="1"/>
    <col min="13832" max="13832" width="7.875" style="615" bestFit="1" customWidth="1"/>
    <col min="13833" max="13833" width="10.75" style="615" bestFit="1" customWidth="1"/>
    <col min="13834" max="13834" width="20.125" style="615" customWidth="1"/>
    <col min="13835" max="13835" width="9.25" style="615" bestFit="1" customWidth="1"/>
    <col min="13836" max="13836" width="10" style="615" customWidth="1"/>
    <col min="13837" max="13837" width="9.75" style="615" bestFit="1" customWidth="1"/>
    <col min="13838" max="13838" width="18.625" style="615" customWidth="1"/>
    <col min="13839" max="13839" width="8.375" style="615" customWidth="1"/>
    <col min="13840" max="13840" width="9.75" style="615" bestFit="1" customWidth="1"/>
    <col min="13841" max="13841" width="18.625" style="615" customWidth="1"/>
    <col min="13842" max="13842" width="7.75" style="615" bestFit="1" customWidth="1"/>
    <col min="13843" max="13844" width="9" style="615"/>
    <col min="13845" max="13845" width="15.875" style="615" customWidth="1"/>
    <col min="13846" max="14080" width="9" style="615"/>
    <col min="14081" max="14081" width="8.625" style="615" bestFit="1" customWidth="1"/>
    <col min="14082" max="14082" width="1.375" style="615" customWidth="1"/>
    <col min="14083" max="14083" width="55.75" style="615" customWidth="1"/>
    <col min="14084" max="14084" width="4.5" style="615" customWidth="1"/>
    <col min="14085" max="14085" width="14.5" style="615" customWidth="1"/>
    <col min="14086" max="14086" width="10.75" style="615" customWidth="1"/>
    <col min="14087" max="14087" width="16.5" style="615" customWidth="1"/>
    <col min="14088" max="14088" width="7.875" style="615" bestFit="1" customWidth="1"/>
    <col min="14089" max="14089" width="10.75" style="615" bestFit="1" customWidth="1"/>
    <col min="14090" max="14090" width="20.125" style="615" customWidth="1"/>
    <col min="14091" max="14091" width="9.25" style="615" bestFit="1" customWidth="1"/>
    <col min="14092" max="14092" width="10" style="615" customWidth="1"/>
    <col min="14093" max="14093" width="9.75" style="615" bestFit="1" customWidth="1"/>
    <col min="14094" max="14094" width="18.625" style="615" customWidth="1"/>
    <col min="14095" max="14095" width="8.375" style="615" customWidth="1"/>
    <col min="14096" max="14096" width="9.75" style="615" bestFit="1" customWidth="1"/>
    <col min="14097" max="14097" width="18.625" style="615" customWidth="1"/>
    <col min="14098" max="14098" width="7.75" style="615" bestFit="1" customWidth="1"/>
    <col min="14099" max="14100" width="9" style="615"/>
    <col min="14101" max="14101" width="15.875" style="615" customWidth="1"/>
    <col min="14102" max="14336" width="9" style="615"/>
    <col min="14337" max="14337" width="8.625" style="615" bestFit="1" customWidth="1"/>
    <col min="14338" max="14338" width="1.375" style="615" customWidth="1"/>
    <col min="14339" max="14339" width="55.75" style="615" customWidth="1"/>
    <col min="14340" max="14340" width="4.5" style="615" customWidth="1"/>
    <col min="14341" max="14341" width="14.5" style="615" customWidth="1"/>
    <col min="14342" max="14342" width="10.75" style="615" customWidth="1"/>
    <col min="14343" max="14343" width="16.5" style="615" customWidth="1"/>
    <col min="14344" max="14344" width="7.875" style="615" bestFit="1" customWidth="1"/>
    <col min="14345" max="14345" width="10.75" style="615" bestFit="1" customWidth="1"/>
    <col min="14346" max="14346" width="20.125" style="615" customWidth="1"/>
    <col min="14347" max="14347" width="9.25" style="615" bestFit="1" customWidth="1"/>
    <col min="14348" max="14348" width="10" style="615" customWidth="1"/>
    <col min="14349" max="14349" width="9.75" style="615" bestFit="1" customWidth="1"/>
    <col min="14350" max="14350" width="18.625" style="615" customWidth="1"/>
    <col min="14351" max="14351" width="8.375" style="615" customWidth="1"/>
    <col min="14352" max="14352" width="9.75" style="615" bestFit="1" customWidth="1"/>
    <col min="14353" max="14353" width="18.625" style="615" customWidth="1"/>
    <col min="14354" max="14354" width="7.75" style="615" bestFit="1" customWidth="1"/>
    <col min="14355" max="14356" width="9" style="615"/>
    <col min="14357" max="14357" width="15.875" style="615" customWidth="1"/>
    <col min="14358" max="14592" width="9" style="615"/>
    <col min="14593" max="14593" width="8.625" style="615" bestFit="1" customWidth="1"/>
    <col min="14594" max="14594" width="1.375" style="615" customWidth="1"/>
    <col min="14595" max="14595" width="55.75" style="615" customWidth="1"/>
    <col min="14596" max="14596" width="4.5" style="615" customWidth="1"/>
    <col min="14597" max="14597" width="14.5" style="615" customWidth="1"/>
    <col min="14598" max="14598" width="10.75" style="615" customWidth="1"/>
    <col min="14599" max="14599" width="16.5" style="615" customWidth="1"/>
    <col min="14600" max="14600" width="7.875" style="615" bestFit="1" customWidth="1"/>
    <col min="14601" max="14601" width="10.75" style="615" bestFit="1" customWidth="1"/>
    <col min="14602" max="14602" width="20.125" style="615" customWidth="1"/>
    <col min="14603" max="14603" width="9.25" style="615" bestFit="1" customWidth="1"/>
    <col min="14604" max="14604" width="10" style="615" customWidth="1"/>
    <col min="14605" max="14605" width="9.75" style="615" bestFit="1" customWidth="1"/>
    <col min="14606" max="14606" width="18.625" style="615" customWidth="1"/>
    <col min="14607" max="14607" width="8.375" style="615" customWidth="1"/>
    <col min="14608" max="14608" width="9.75" style="615" bestFit="1" customWidth="1"/>
    <col min="14609" max="14609" width="18.625" style="615" customWidth="1"/>
    <col min="14610" max="14610" width="7.75" style="615" bestFit="1" customWidth="1"/>
    <col min="14611" max="14612" width="9" style="615"/>
    <col min="14613" max="14613" width="15.875" style="615" customWidth="1"/>
    <col min="14614" max="14848" width="9" style="615"/>
    <col min="14849" max="14849" width="8.625" style="615" bestFit="1" customWidth="1"/>
    <col min="14850" max="14850" width="1.375" style="615" customWidth="1"/>
    <col min="14851" max="14851" width="55.75" style="615" customWidth="1"/>
    <col min="14852" max="14852" width="4.5" style="615" customWidth="1"/>
    <col min="14853" max="14853" width="14.5" style="615" customWidth="1"/>
    <col min="14854" max="14854" width="10.75" style="615" customWidth="1"/>
    <col min="14855" max="14855" width="16.5" style="615" customWidth="1"/>
    <col min="14856" max="14856" width="7.875" style="615" bestFit="1" customWidth="1"/>
    <col min="14857" max="14857" width="10.75" style="615" bestFit="1" customWidth="1"/>
    <col min="14858" max="14858" width="20.125" style="615" customWidth="1"/>
    <col min="14859" max="14859" width="9.25" style="615" bestFit="1" customWidth="1"/>
    <col min="14860" max="14860" width="10" style="615" customWidth="1"/>
    <col min="14861" max="14861" width="9.75" style="615" bestFit="1" customWidth="1"/>
    <col min="14862" max="14862" width="18.625" style="615" customWidth="1"/>
    <col min="14863" max="14863" width="8.375" style="615" customWidth="1"/>
    <col min="14864" max="14864" width="9.75" style="615" bestFit="1" customWidth="1"/>
    <col min="14865" max="14865" width="18.625" style="615" customWidth="1"/>
    <col min="14866" max="14866" width="7.75" style="615" bestFit="1" customWidth="1"/>
    <col min="14867" max="14868" width="9" style="615"/>
    <col min="14869" max="14869" width="15.875" style="615" customWidth="1"/>
    <col min="14870" max="15104" width="9" style="615"/>
    <col min="15105" max="15105" width="8.625" style="615" bestFit="1" customWidth="1"/>
    <col min="15106" max="15106" width="1.375" style="615" customWidth="1"/>
    <col min="15107" max="15107" width="55.75" style="615" customWidth="1"/>
    <col min="15108" max="15108" width="4.5" style="615" customWidth="1"/>
    <col min="15109" max="15109" width="14.5" style="615" customWidth="1"/>
    <col min="15110" max="15110" width="10.75" style="615" customWidth="1"/>
    <col min="15111" max="15111" width="16.5" style="615" customWidth="1"/>
    <col min="15112" max="15112" width="7.875" style="615" bestFit="1" customWidth="1"/>
    <col min="15113" max="15113" width="10.75" style="615" bestFit="1" customWidth="1"/>
    <col min="15114" max="15114" width="20.125" style="615" customWidth="1"/>
    <col min="15115" max="15115" width="9.25" style="615" bestFit="1" customWidth="1"/>
    <col min="15116" max="15116" width="10" style="615" customWidth="1"/>
    <col min="15117" max="15117" width="9.75" style="615" bestFit="1" customWidth="1"/>
    <col min="15118" max="15118" width="18.625" style="615" customWidth="1"/>
    <col min="15119" max="15119" width="8.375" style="615" customWidth="1"/>
    <col min="15120" max="15120" width="9.75" style="615" bestFit="1" customWidth="1"/>
    <col min="15121" max="15121" width="18.625" style="615" customWidth="1"/>
    <col min="15122" max="15122" width="7.75" style="615" bestFit="1" customWidth="1"/>
    <col min="15123" max="15124" width="9" style="615"/>
    <col min="15125" max="15125" width="15.875" style="615" customWidth="1"/>
    <col min="15126" max="15360" width="9" style="615"/>
    <col min="15361" max="15361" width="8.625" style="615" bestFit="1" customWidth="1"/>
    <col min="15362" max="15362" width="1.375" style="615" customWidth="1"/>
    <col min="15363" max="15363" width="55.75" style="615" customWidth="1"/>
    <col min="15364" max="15364" width="4.5" style="615" customWidth="1"/>
    <col min="15365" max="15365" width="14.5" style="615" customWidth="1"/>
    <col min="15366" max="15366" width="10.75" style="615" customWidth="1"/>
    <col min="15367" max="15367" width="16.5" style="615" customWidth="1"/>
    <col min="15368" max="15368" width="7.875" style="615" bestFit="1" customWidth="1"/>
    <col min="15369" max="15369" width="10.75" style="615" bestFit="1" customWidth="1"/>
    <col min="15370" max="15370" width="20.125" style="615" customWidth="1"/>
    <col min="15371" max="15371" width="9.25" style="615" bestFit="1" customWidth="1"/>
    <col min="15372" max="15372" width="10" style="615" customWidth="1"/>
    <col min="15373" max="15373" width="9.75" style="615" bestFit="1" customWidth="1"/>
    <col min="15374" max="15374" width="18.625" style="615" customWidth="1"/>
    <col min="15375" max="15375" width="8.375" style="615" customWidth="1"/>
    <col min="15376" max="15376" width="9.75" style="615" bestFit="1" customWidth="1"/>
    <col min="15377" max="15377" width="18.625" style="615" customWidth="1"/>
    <col min="15378" max="15378" width="7.75" style="615" bestFit="1" customWidth="1"/>
    <col min="15379" max="15380" width="9" style="615"/>
    <col min="15381" max="15381" width="15.875" style="615" customWidth="1"/>
    <col min="15382" max="15616" width="9" style="615"/>
    <col min="15617" max="15617" width="8.625" style="615" bestFit="1" customWidth="1"/>
    <col min="15618" max="15618" width="1.375" style="615" customWidth="1"/>
    <col min="15619" max="15619" width="55.75" style="615" customWidth="1"/>
    <col min="15620" max="15620" width="4.5" style="615" customWidth="1"/>
    <col min="15621" max="15621" width="14.5" style="615" customWidth="1"/>
    <col min="15622" max="15622" width="10.75" style="615" customWidth="1"/>
    <col min="15623" max="15623" width="16.5" style="615" customWidth="1"/>
    <col min="15624" max="15624" width="7.875" style="615" bestFit="1" customWidth="1"/>
    <col min="15625" max="15625" width="10.75" style="615" bestFit="1" customWidth="1"/>
    <col min="15626" max="15626" width="20.125" style="615" customWidth="1"/>
    <col min="15627" max="15627" width="9.25" style="615" bestFit="1" customWidth="1"/>
    <col min="15628" max="15628" width="10" style="615" customWidth="1"/>
    <col min="15629" max="15629" width="9.75" style="615" bestFit="1" customWidth="1"/>
    <col min="15630" max="15630" width="18.625" style="615" customWidth="1"/>
    <col min="15631" max="15631" width="8.375" style="615" customWidth="1"/>
    <col min="15632" max="15632" width="9.75" style="615" bestFit="1" customWidth="1"/>
    <col min="15633" max="15633" width="18.625" style="615" customWidth="1"/>
    <col min="15634" max="15634" width="7.75" style="615" bestFit="1" customWidth="1"/>
    <col min="15635" max="15636" width="9" style="615"/>
    <col min="15637" max="15637" width="15.875" style="615" customWidth="1"/>
    <col min="15638" max="15872" width="9" style="615"/>
    <col min="15873" max="15873" width="8.625" style="615" bestFit="1" customWidth="1"/>
    <col min="15874" max="15874" width="1.375" style="615" customWidth="1"/>
    <col min="15875" max="15875" width="55.75" style="615" customWidth="1"/>
    <col min="15876" max="15876" width="4.5" style="615" customWidth="1"/>
    <col min="15877" max="15877" width="14.5" style="615" customWidth="1"/>
    <col min="15878" max="15878" width="10.75" style="615" customWidth="1"/>
    <col min="15879" max="15879" width="16.5" style="615" customWidth="1"/>
    <col min="15880" max="15880" width="7.875" style="615" bestFit="1" customWidth="1"/>
    <col min="15881" max="15881" width="10.75" style="615" bestFit="1" customWidth="1"/>
    <col min="15882" max="15882" width="20.125" style="615" customWidth="1"/>
    <col min="15883" max="15883" width="9.25" style="615" bestFit="1" customWidth="1"/>
    <col min="15884" max="15884" width="10" style="615" customWidth="1"/>
    <col min="15885" max="15885" width="9.75" style="615" bestFit="1" customWidth="1"/>
    <col min="15886" max="15886" width="18.625" style="615" customWidth="1"/>
    <col min="15887" max="15887" width="8.375" style="615" customWidth="1"/>
    <col min="15888" max="15888" width="9.75" style="615" bestFit="1" customWidth="1"/>
    <col min="15889" max="15889" width="18.625" style="615" customWidth="1"/>
    <col min="15890" max="15890" width="7.75" style="615" bestFit="1" customWidth="1"/>
    <col min="15891" max="15892" width="9" style="615"/>
    <col min="15893" max="15893" width="15.875" style="615" customWidth="1"/>
    <col min="15894" max="16128" width="9" style="615"/>
    <col min="16129" max="16129" width="8.625" style="615" bestFit="1" customWidth="1"/>
    <col min="16130" max="16130" width="1.375" style="615" customWidth="1"/>
    <col min="16131" max="16131" width="55.75" style="615" customWidth="1"/>
    <col min="16132" max="16132" width="4.5" style="615" customWidth="1"/>
    <col min="16133" max="16133" width="14.5" style="615" customWidth="1"/>
    <col min="16134" max="16134" width="10.75" style="615" customWidth="1"/>
    <col min="16135" max="16135" width="16.5" style="615" customWidth="1"/>
    <col min="16136" max="16136" width="7.875" style="615" bestFit="1" customWidth="1"/>
    <col min="16137" max="16137" width="10.75" style="615" bestFit="1" customWidth="1"/>
    <col min="16138" max="16138" width="20.125" style="615" customWidth="1"/>
    <col min="16139" max="16139" width="9.25" style="615" bestFit="1" customWidth="1"/>
    <col min="16140" max="16140" width="10" style="615" customWidth="1"/>
    <col min="16141" max="16141" width="9.75" style="615" bestFit="1" customWidth="1"/>
    <col min="16142" max="16142" width="18.625" style="615" customWidth="1"/>
    <col min="16143" max="16143" width="8.375" style="615" customWidth="1"/>
    <col min="16144" max="16144" width="9.75" style="615" bestFit="1" customWidth="1"/>
    <col min="16145" max="16145" width="18.625" style="615" customWidth="1"/>
    <col min="16146" max="16146" width="7.75" style="615" bestFit="1" customWidth="1"/>
    <col min="16147" max="16148" width="9" style="615"/>
    <col min="16149" max="16149" width="15.875" style="615" customWidth="1"/>
    <col min="16150" max="16384" width="9" style="615"/>
  </cols>
  <sheetData>
    <row r="1" spans="1:21" ht="15" thickTop="1">
      <c r="A1" s="609"/>
      <c r="B1" s="610"/>
      <c r="C1" s="611"/>
      <c r="D1" s="610"/>
      <c r="E1" s="612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  <c r="R1" s="614"/>
    </row>
    <row r="2" spans="1:21" ht="33.75">
      <c r="A2" s="829" t="s">
        <v>392</v>
      </c>
      <c r="B2" s="830"/>
      <c r="C2" s="830"/>
      <c r="D2" s="830"/>
      <c r="E2" s="830"/>
      <c r="F2" s="830"/>
      <c r="G2" s="830"/>
      <c r="H2" s="830"/>
      <c r="I2" s="830"/>
      <c r="J2" s="830"/>
      <c r="K2" s="830"/>
      <c r="L2" s="830"/>
      <c r="M2" s="830"/>
      <c r="N2" s="830"/>
      <c r="O2" s="830"/>
      <c r="P2" s="830"/>
      <c r="Q2" s="830"/>
      <c r="R2" s="831"/>
      <c r="S2" s="616"/>
    </row>
    <row r="3" spans="1:21" ht="33.75">
      <c r="A3" s="829" t="s">
        <v>393</v>
      </c>
      <c r="B3" s="830"/>
      <c r="C3" s="830"/>
      <c r="D3" s="830"/>
      <c r="E3" s="830"/>
      <c r="F3" s="830"/>
      <c r="G3" s="830"/>
      <c r="H3" s="830"/>
      <c r="I3" s="830"/>
      <c r="J3" s="830"/>
      <c r="K3" s="830"/>
      <c r="L3" s="830"/>
      <c r="M3" s="830"/>
      <c r="N3" s="830"/>
      <c r="O3" s="830"/>
      <c r="P3" s="830"/>
      <c r="Q3" s="830"/>
      <c r="R3" s="831"/>
      <c r="S3" s="616"/>
    </row>
    <row r="4" spans="1:21">
      <c r="A4" s="617"/>
      <c r="B4" s="618"/>
      <c r="C4" s="619"/>
      <c r="D4" s="620"/>
      <c r="E4" s="621"/>
      <c r="F4" s="622"/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2"/>
      <c r="R4" s="623"/>
    </row>
    <row r="5" spans="1:21">
      <c r="A5" s="617" t="s">
        <v>394</v>
      </c>
      <c r="B5" s="618" t="s">
        <v>285</v>
      </c>
      <c r="C5" s="619" t="s">
        <v>395</v>
      </c>
      <c r="D5" s="620"/>
      <c r="E5" s="621"/>
      <c r="F5" s="622"/>
      <c r="G5" s="622"/>
      <c r="H5" s="622"/>
      <c r="I5" s="622"/>
      <c r="J5" s="622"/>
      <c r="K5" s="622"/>
      <c r="L5" s="622"/>
      <c r="M5" s="622"/>
      <c r="N5" s="622"/>
      <c r="O5" s="622"/>
      <c r="P5" s="622"/>
      <c r="Q5" s="622"/>
      <c r="R5" s="623"/>
    </row>
    <row r="6" spans="1:21" ht="15">
      <c r="A6" s="617" t="s">
        <v>396</v>
      </c>
      <c r="B6" s="618" t="s">
        <v>285</v>
      </c>
      <c r="C6" s="624" t="s">
        <v>397</v>
      </c>
      <c r="D6" s="620"/>
      <c r="E6" s="621"/>
      <c r="F6" s="622"/>
      <c r="G6" s="622"/>
      <c r="H6" s="622"/>
      <c r="I6" s="622"/>
      <c r="J6" s="622"/>
      <c r="K6" s="622"/>
      <c r="L6" s="622"/>
      <c r="M6" s="622"/>
      <c r="N6" s="622"/>
      <c r="O6" s="622"/>
      <c r="P6" s="622"/>
      <c r="Q6" s="622"/>
      <c r="R6" s="623"/>
    </row>
    <row r="7" spans="1:21">
      <c r="A7" s="617" t="s">
        <v>398</v>
      </c>
      <c r="B7" s="618" t="s">
        <v>285</v>
      </c>
      <c r="C7" s="619" t="s">
        <v>399</v>
      </c>
      <c r="D7" s="620"/>
      <c r="E7" s="621"/>
      <c r="F7" s="622"/>
      <c r="G7" s="622"/>
      <c r="H7" s="622"/>
      <c r="I7" s="622"/>
      <c r="J7" s="622"/>
      <c r="K7" s="622"/>
      <c r="L7" s="622"/>
      <c r="M7" s="622"/>
      <c r="N7" s="622"/>
      <c r="O7" s="622"/>
      <c r="P7" s="622"/>
      <c r="Q7" s="622"/>
      <c r="R7" s="623"/>
    </row>
    <row r="8" spans="1:21">
      <c r="A8" s="617" t="s">
        <v>192</v>
      </c>
      <c r="B8" s="618" t="s">
        <v>285</v>
      </c>
      <c r="C8" s="625">
        <v>42108</v>
      </c>
      <c r="D8" s="620"/>
      <c r="E8" s="621"/>
      <c r="F8" s="622"/>
      <c r="G8" s="622"/>
      <c r="H8" s="622"/>
      <c r="I8" s="622"/>
      <c r="J8" s="622"/>
      <c r="K8" s="622"/>
      <c r="L8" s="622"/>
      <c r="M8" s="622"/>
      <c r="N8" s="622"/>
      <c r="O8" s="622"/>
      <c r="P8" s="622"/>
      <c r="Q8" s="622"/>
      <c r="R8" s="623"/>
    </row>
    <row r="9" spans="1:21">
      <c r="A9" s="617" t="s">
        <v>400</v>
      </c>
      <c r="B9" s="618" t="s">
        <v>285</v>
      </c>
      <c r="C9" s="625" t="s">
        <v>401</v>
      </c>
      <c r="D9" s="620"/>
      <c r="E9" s="621"/>
      <c r="F9" s="622"/>
      <c r="G9" s="622"/>
      <c r="H9" s="622"/>
      <c r="I9" s="622"/>
      <c r="J9" s="622"/>
      <c r="K9" s="622"/>
      <c r="L9" s="622"/>
      <c r="M9" s="622"/>
      <c r="N9" s="622"/>
      <c r="O9" s="622"/>
      <c r="P9" s="622"/>
      <c r="Q9" s="622"/>
      <c r="R9" s="623"/>
      <c r="U9" s="615">
        <v>400000000000</v>
      </c>
    </row>
    <row r="10" spans="1:21" ht="15" thickBot="1">
      <c r="A10" s="626"/>
      <c r="B10" s="620"/>
      <c r="C10" s="619"/>
      <c r="D10" s="620"/>
      <c r="E10" s="621"/>
      <c r="F10" s="622"/>
      <c r="G10" s="622"/>
      <c r="H10" s="622"/>
      <c r="I10" s="622"/>
      <c r="J10" s="622"/>
      <c r="K10" s="622"/>
      <c r="L10" s="627"/>
      <c r="M10" s="622"/>
      <c r="N10" s="622"/>
      <c r="O10" s="622"/>
      <c r="P10" s="622"/>
      <c r="Q10" s="622"/>
      <c r="R10" s="623"/>
    </row>
    <row r="11" spans="1:21" s="629" customFormat="1" ht="26.25" customHeight="1">
      <c r="A11" s="832" t="s">
        <v>402</v>
      </c>
      <c r="B11" s="835" t="s">
        <v>7</v>
      </c>
      <c r="C11" s="836"/>
      <c r="D11" s="841" t="s">
        <v>9</v>
      </c>
      <c r="E11" s="844" t="s">
        <v>403</v>
      </c>
      <c r="F11" s="847" t="s">
        <v>404</v>
      </c>
      <c r="G11" s="848"/>
      <c r="H11" s="849"/>
      <c r="I11" s="847" t="s">
        <v>405</v>
      </c>
      <c r="J11" s="848"/>
      <c r="K11" s="849"/>
      <c r="L11" s="628" t="s">
        <v>406</v>
      </c>
      <c r="M11" s="847" t="s">
        <v>407</v>
      </c>
      <c r="N11" s="848"/>
      <c r="O11" s="848"/>
      <c r="P11" s="848"/>
      <c r="Q11" s="848"/>
      <c r="R11" s="850"/>
    </row>
    <row r="12" spans="1:21" s="629" customFormat="1" ht="15" customHeight="1">
      <c r="A12" s="833"/>
      <c r="B12" s="837"/>
      <c r="C12" s="838"/>
      <c r="D12" s="842"/>
      <c r="E12" s="845"/>
      <c r="F12" s="851" t="s">
        <v>8</v>
      </c>
      <c r="G12" s="854" t="s">
        <v>408</v>
      </c>
      <c r="H12" s="857" t="s">
        <v>409</v>
      </c>
      <c r="I12" s="851" t="s">
        <v>8</v>
      </c>
      <c r="J12" s="854" t="s">
        <v>408</v>
      </c>
      <c r="K12" s="857" t="s">
        <v>409</v>
      </c>
      <c r="L12" s="630" t="s">
        <v>410</v>
      </c>
      <c r="M12" s="860" t="s">
        <v>411</v>
      </c>
      <c r="N12" s="861"/>
      <c r="O12" s="865"/>
      <c r="P12" s="860" t="s">
        <v>412</v>
      </c>
      <c r="Q12" s="861"/>
      <c r="R12" s="862"/>
    </row>
    <row r="13" spans="1:21" s="629" customFormat="1" ht="15">
      <c r="A13" s="833"/>
      <c r="B13" s="837"/>
      <c r="C13" s="838"/>
      <c r="D13" s="842"/>
      <c r="E13" s="845"/>
      <c r="F13" s="852"/>
      <c r="G13" s="855"/>
      <c r="H13" s="858"/>
      <c r="I13" s="852"/>
      <c r="J13" s="855"/>
      <c r="K13" s="858"/>
      <c r="L13" s="630" t="s">
        <v>413</v>
      </c>
      <c r="M13" s="851" t="s">
        <v>8</v>
      </c>
      <c r="N13" s="854" t="s">
        <v>408</v>
      </c>
      <c r="O13" s="857" t="s">
        <v>409</v>
      </c>
      <c r="P13" s="851" t="s">
        <v>8</v>
      </c>
      <c r="Q13" s="854" t="s">
        <v>408</v>
      </c>
      <c r="R13" s="863" t="s">
        <v>409</v>
      </c>
    </row>
    <row r="14" spans="1:21" s="629" customFormat="1" ht="15.75" thickBot="1">
      <c r="A14" s="834"/>
      <c r="B14" s="839"/>
      <c r="C14" s="840"/>
      <c r="D14" s="843"/>
      <c r="E14" s="846"/>
      <c r="F14" s="853"/>
      <c r="G14" s="856"/>
      <c r="H14" s="859"/>
      <c r="I14" s="853"/>
      <c r="J14" s="856"/>
      <c r="K14" s="859"/>
      <c r="L14" s="631" t="s">
        <v>414</v>
      </c>
      <c r="M14" s="853"/>
      <c r="N14" s="856"/>
      <c r="O14" s="859"/>
      <c r="P14" s="853"/>
      <c r="Q14" s="856"/>
      <c r="R14" s="864"/>
    </row>
    <row r="15" spans="1:21" s="644" customFormat="1" ht="6" customHeight="1">
      <c r="A15" s="632"/>
      <c r="B15" s="633"/>
      <c r="C15" s="634"/>
      <c r="D15" s="635"/>
      <c r="E15" s="636"/>
      <c r="F15" s="637"/>
      <c r="G15" s="638"/>
      <c r="H15" s="639"/>
      <c r="I15" s="640"/>
      <c r="J15" s="638"/>
      <c r="K15" s="641"/>
      <c r="L15" s="642"/>
      <c r="M15" s="637"/>
      <c r="N15" s="638"/>
      <c r="O15" s="639"/>
      <c r="P15" s="640"/>
      <c r="Q15" s="638"/>
      <c r="R15" s="643"/>
    </row>
    <row r="16" spans="1:21" s="660" customFormat="1" ht="15">
      <c r="A16" s="645"/>
      <c r="B16" s="646"/>
      <c r="C16" s="647" t="s">
        <v>415</v>
      </c>
      <c r="D16" s="648"/>
      <c r="E16" s="649"/>
      <c r="F16" s="650"/>
      <c r="G16" s="651">
        <f>SUM(G17:G18)</f>
        <v>60265000</v>
      </c>
      <c r="H16" s="652">
        <f>SUM(H17:H18)</f>
        <v>0.49805196697413917</v>
      </c>
      <c r="I16" s="653"/>
      <c r="J16" s="651">
        <f>SUM(J17:J18)</f>
        <v>60265000</v>
      </c>
      <c r="K16" s="654">
        <f>SUM(K17:K18)</f>
        <v>0.49805196697413917</v>
      </c>
      <c r="L16" s="655"/>
      <c r="M16" s="650"/>
      <c r="N16" s="656"/>
      <c r="O16" s="657"/>
      <c r="P16" s="658"/>
      <c r="Q16" s="656"/>
      <c r="R16" s="659"/>
    </row>
    <row r="17" spans="1:20" ht="15">
      <c r="A17" s="661" t="s">
        <v>11</v>
      </c>
      <c r="B17" s="662"/>
      <c r="C17" s="663" t="s">
        <v>5</v>
      </c>
      <c r="D17" s="664" t="s">
        <v>12</v>
      </c>
      <c r="E17" s="665">
        <v>56665000</v>
      </c>
      <c r="F17" s="666">
        <v>1</v>
      </c>
      <c r="G17" s="667">
        <f>E17*F17</f>
        <v>56665000</v>
      </c>
      <c r="H17" s="668">
        <f>G17/G48*100</f>
        <v>0.46830025236189488</v>
      </c>
      <c r="I17" s="669">
        <v>1</v>
      </c>
      <c r="J17" s="670">
        <f>E17*I17</f>
        <v>56665000</v>
      </c>
      <c r="K17" s="671">
        <f>J17/$G$48*100</f>
        <v>0.46830025236189488</v>
      </c>
      <c r="L17" s="672">
        <f>I17/F17*100</f>
        <v>100</v>
      </c>
      <c r="M17" s="666">
        <f>I17-F17</f>
        <v>0</v>
      </c>
      <c r="N17" s="667">
        <f>M17*E17</f>
        <v>0</v>
      </c>
      <c r="O17" s="673"/>
      <c r="P17" s="674">
        <f>F17-I17</f>
        <v>0</v>
      </c>
      <c r="Q17" s="667">
        <f>P17*E17</f>
        <v>0</v>
      </c>
      <c r="R17" s="675"/>
      <c r="T17" s="676">
        <f>I17/F17*100</f>
        <v>100</v>
      </c>
    </row>
    <row r="18" spans="1:20" ht="15">
      <c r="A18" s="661" t="s">
        <v>141</v>
      </c>
      <c r="B18" s="662"/>
      <c r="C18" s="663" t="s">
        <v>416</v>
      </c>
      <c r="D18" s="664" t="s">
        <v>12</v>
      </c>
      <c r="E18" s="665">
        <v>3600000</v>
      </c>
      <c r="F18" s="666">
        <v>1</v>
      </c>
      <c r="G18" s="667">
        <f>E18*F18</f>
        <v>3600000</v>
      </c>
      <c r="H18" s="668">
        <f>G18/$G$48*100</f>
        <v>2.9751714612244271E-2</v>
      </c>
      <c r="I18" s="669">
        <v>1</v>
      </c>
      <c r="J18" s="670">
        <f>E18*I18</f>
        <v>3600000</v>
      </c>
      <c r="K18" s="671">
        <f>J18/$G$48*100</f>
        <v>2.9751714612244271E-2</v>
      </c>
      <c r="L18" s="672">
        <f>I18/F18*100</f>
        <v>100</v>
      </c>
      <c r="M18" s="666">
        <f>I18-F18</f>
        <v>0</v>
      </c>
      <c r="N18" s="667">
        <f>M18*E18</f>
        <v>0</v>
      </c>
      <c r="O18" s="673"/>
      <c r="P18" s="674">
        <f>F18-I18</f>
        <v>0</v>
      </c>
      <c r="Q18" s="667">
        <f>P18*E18</f>
        <v>0</v>
      </c>
      <c r="R18" s="675"/>
      <c r="T18" s="676">
        <f t="shared" ref="T18:T45" si="0">I18/F18*100</f>
        <v>100</v>
      </c>
    </row>
    <row r="19" spans="1:20" s="691" customFormat="1" ht="16.5" customHeight="1">
      <c r="A19" s="677"/>
      <c r="B19" s="678"/>
      <c r="C19" s="679" t="s">
        <v>417</v>
      </c>
      <c r="D19" s="680"/>
      <c r="E19" s="681"/>
      <c r="F19" s="682"/>
      <c r="G19" s="683">
        <f>SUM(G20:G22)</f>
        <v>373713468.45999998</v>
      </c>
      <c r="H19" s="684">
        <f>SUM(H20:H22)</f>
        <v>3.0885045723260758</v>
      </c>
      <c r="I19" s="682"/>
      <c r="J19" s="683">
        <f>SUM(J20:J22)</f>
        <v>424922802.6336</v>
      </c>
      <c r="K19" s="685">
        <f>SUM(K20:K22)</f>
        <v>3.511717210052741</v>
      </c>
      <c r="L19" s="686"/>
      <c r="M19" s="682"/>
      <c r="N19" s="687"/>
      <c r="O19" s="688"/>
      <c r="P19" s="689"/>
      <c r="Q19" s="687"/>
      <c r="R19" s="690"/>
      <c r="T19" s="676"/>
    </row>
    <row r="20" spans="1:20" ht="16.5" customHeight="1">
      <c r="A20" s="661" t="s">
        <v>418</v>
      </c>
      <c r="B20" s="662"/>
      <c r="C20" s="663" t="s">
        <v>419</v>
      </c>
      <c r="D20" s="664" t="s">
        <v>460</v>
      </c>
      <c r="E20" s="665">
        <v>61621.97</v>
      </c>
      <c r="F20" s="666">
        <v>650</v>
      </c>
      <c r="G20" s="667">
        <f>E20*F20</f>
        <v>40054280.5</v>
      </c>
      <c r="H20" s="668">
        <f>G20/$G$48*100</f>
        <v>0.33102320067632801</v>
      </c>
      <c r="I20" s="669">
        <v>2178.9</v>
      </c>
      <c r="J20" s="670">
        <f>E20*I20</f>
        <v>134268110.433</v>
      </c>
      <c r="K20" s="671">
        <f>J20/$G$48*100</f>
        <v>1.1096406953133096</v>
      </c>
      <c r="L20" s="672">
        <f t="shared" ref="L20:L45" si="1">I20/F20*100</f>
        <v>335.21538461538466</v>
      </c>
      <c r="M20" s="666">
        <f>I20-F20</f>
        <v>1528.9</v>
      </c>
      <c r="N20" s="667">
        <f>M20*E20</f>
        <v>94213829.933000013</v>
      </c>
      <c r="O20" s="673"/>
      <c r="P20" s="674"/>
      <c r="Q20" s="667">
        <f>P20*E20</f>
        <v>0</v>
      </c>
      <c r="R20" s="675"/>
      <c r="T20" s="676">
        <f>I20/F20*100</f>
        <v>335.21538461538466</v>
      </c>
    </row>
    <row r="21" spans="1:20" ht="16.5" customHeight="1">
      <c r="A21" s="661" t="s">
        <v>420</v>
      </c>
      <c r="B21" s="662"/>
      <c r="C21" s="663" t="s">
        <v>421</v>
      </c>
      <c r="D21" s="664" t="s">
        <v>460</v>
      </c>
      <c r="E21" s="665">
        <v>538752.27</v>
      </c>
      <c r="F21" s="666">
        <v>500</v>
      </c>
      <c r="G21" s="667">
        <f>E21*F21</f>
        <v>269376135</v>
      </c>
      <c r="H21" s="668">
        <f>G21/$G$48*100</f>
        <v>2.2262227477414962</v>
      </c>
      <c r="I21" s="669">
        <v>489.78</v>
      </c>
      <c r="J21" s="670">
        <f>E21*I21</f>
        <v>263870086.80059999</v>
      </c>
      <c r="K21" s="671">
        <f>J21/$G$48*100</f>
        <v>2.1807187547776596</v>
      </c>
      <c r="L21" s="672">
        <f t="shared" si="1"/>
        <v>97.956000000000003</v>
      </c>
      <c r="M21" s="666"/>
      <c r="N21" s="667">
        <f>M21*E21</f>
        <v>0</v>
      </c>
      <c r="O21" s="673"/>
      <c r="P21" s="674">
        <f>F21-I21</f>
        <v>10.220000000000027</v>
      </c>
      <c r="Q21" s="667">
        <f>P21*E21</f>
        <v>5506048.1994000152</v>
      </c>
      <c r="R21" s="675"/>
      <c r="T21" s="676">
        <f>I21/F21*100</f>
        <v>97.956000000000003</v>
      </c>
    </row>
    <row r="22" spans="1:20" ht="16.5" customHeight="1">
      <c r="A22" s="661" t="s">
        <v>422</v>
      </c>
      <c r="B22" s="662"/>
      <c r="C22" s="663" t="s">
        <v>423</v>
      </c>
      <c r="D22" s="664" t="s">
        <v>424</v>
      </c>
      <c r="E22" s="665">
        <v>1339230.27</v>
      </c>
      <c r="F22" s="666">
        <v>48</v>
      </c>
      <c r="G22" s="667">
        <f>E22*F22</f>
        <v>64283052.960000001</v>
      </c>
      <c r="H22" s="668">
        <f>G22/$G$48*100</f>
        <v>0.53125862390825129</v>
      </c>
      <c r="I22" s="669">
        <f>'[39]GORONG2 (2)'!G47</f>
        <v>20</v>
      </c>
      <c r="J22" s="670">
        <f>E22*I22</f>
        <v>26784605.399999999</v>
      </c>
      <c r="K22" s="671">
        <f>J22/$G$48*100</f>
        <v>0.22135775996177134</v>
      </c>
      <c r="L22" s="672">
        <f t="shared" si="1"/>
        <v>41.666666666666671</v>
      </c>
      <c r="M22" s="666"/>
      <c r="N22" s="667">
        <f>M22*E22</f>
        <v>0</v>
      </c>
      <c r="O22" s="673"/>
      <c r="P22" s="674">
        <f>F22-I22</f>
        <v>28</v>
      </c>
      <c r="Q22" s="667">
        <f>P22*E22</f>
        <v>37498447.560000002</v>
      </c>
      <c r="R22" s="675"/>
      <c r="T22" s="676">
        <f>I22/F22*100</f>
        <v>41.666666666666671</v>
      </c>
    </row>
    <row r="23" spans="1:20" s="691" customFormat="1" ht="16.5" customHeight="1">
      <c r="A23" s="677"/>
      <c r="B23" s="678"/>
      <c r="C23" s="679" t="s">
        <v>425</v>
      </c>
      <c r="D23" s="680"/>
      <c r="E23" s="681"/>
      <c r="F23" s="682"/>
      <c r="G23" s="683">
        <f>SUM(G24:G28)</f>
        <v>2378943829.711</v>
      </c>
      <c r="H23" s="684">
        <f>SUM(H24:H28)</f>
        <v>19.66046052781142</v>
      </c>
      <c r="I23" s="692"/>
      <c r="J23" s="683">
        <f>SUM(J24:J28)</f>
        <v>2086365712.7162001</v>
      </c>
      <c r="K23" s="685">
        <f>SUM(K24:K28)</f>
        <v>17.242488128195557</v>
      </c>
      <c r="L23" s="686"/>
      <c r="M23" s="682"/>
      <c r="N23" s="687"/>
      <c r="O23" s="688"/>
      <c r="P23" s="689"/>
      <c r="Q23" s="687"/>
      <c r="R23" s="690"/>
      <c r="T23" s="676"/>
    </row>
    <row r="24" spans="1:20" s="705" customFormat="1" ht="16.5" customHeight="1">
      <c r="A24" s="693" t="s">
        <v>132</v>
      </c>
      <c r="B24" s="694"/>
      <c r="C24" s="695" t="s">
        <v>133</v>
      </c>
      <c r="D24" s="696" t="s">
        <v>460</v>
      </c>
      <c r="E24" s="697">
        <v>51903.61</v>
      </c>
      <c r="F24" s="698">
        <v>12500.1</v>
      </c>
      <c r="G24" s="699">
        <f>E24*F24</f>
        <v>648800315.36100006</v>
      </c>
      <c r="H24" s="700">
        <f>G24/$G$48*100</f>
        <v>5.3619227285984881</v>
      </c>
      <c r="I24" s="669">
        <v>8813.67</v>
      </c>
      <c r="J24" s="670">
        <f>E24*I24</f>
        <v>457461290.34869999</v>
      </c>
      <c r="K24" s="671">
        <f>J24/$G$48*100</f>
        <v>3.7806271546120938</v>
      </c>
      <c r="L24" s="701">
        <f t="shared" si="1"/>
        <v>70.508795929632555</v>
      </c>
      <c r="M24" s="698"/>
      <c r="N24" s="699">
        <f>M24*E24</f>
        <v>0</v>
      </c>
      <c r="O24" s="702"/>
      <c r="P24" s="703">
        <f>F24-I24</f>
        <v>3686.4300000000003</v>
      </c>
      <c r="Q24" s="699">
        <f>P24*E24</f>
        <v>191339025.01230001</v>
      </c>
      <c r="R24" s="704"/>
      <c r="T24" s="706">
        <f t="shared" si="0"/>
        <v>70.508795929632555</v>
      </c>
    </row>
    <row r="25" spans="1:20" ht="16.5" customHeight="1">
      <c r="A25" s="707" t="s">
        <v>134</v>
      </c>
      <c r="B25" s="708"/>
      <c r="C25" s="709" t="s">
        <v>135</v>
      </c>
      <c r="D25" s="664" t="s">
        <v>460</v>
      </c>
      <c r="E25" s="665">
        <v>337180.75</v>
      </c>
      <c r="F25" s="666">
        <v>25</v>
      </c>
      <c r="G25" s="667">
        <f>E25*F25</f>
        <v>8429518.75</v>
      </c>
      <c r="H25" s="668">
        <f>G25/$G$48*100</f>
        <v>6.9664621157933912E-2</v>
      </c>
      <c r="I25" s="669">
        <v>1</v>
      </c>
      <c r="J25" s="670">
        <f>E25*I25</f>
        <v>337180.75</v>
      </c>
      <c r="K25" s="671">
        <f>J25/$G$48*100</f>
        <v>2.7865848463173564E-3</v>
      </c>
      <c r="L25" s="672">
        <f t="shared" si="1"/>
        <v>4</v>
      </c>
      <c r="M25" s="666"/>
      <c r="N25" s="667">
        <f>M25*E25</f>
        <v>0</v>
      </c>
      <c r="O25" s="673"/>
      <c r="P25" s="674">
        <f>F25-I25</f>
        <v>24</v>
      </c>
      <c r="Q25" s="667">
        <f>P25*E25</f>
        <v>8092338</v>
      </c>
      <c r="R25" s="710"/>
      <c r="T25" s="676">
        <f t="shared" si="0"/>
        <v>4</v>
      </c>
    </row>
    <row r="26" spans="1:20" ht="16.5" customHeight="1">
      <c r="A26" s="707" t="s">
        <v>13</v>
      </c>
      <c r="B26" s="708"/>
      <c r="C26" s="709" t="s">
        <v>14</v>
      </c>
      <c r="D26" s="664" t="s">
        <v>460</v>
      </c>
      <c r="E26" s="665">
        <v>46299.99</v>
      </c>
      <c r="F26" s="666">
        <v>6500</v>
      </c>
      <c r="G26" s="667">
        <f>E26*F26</f>
        <v>300949935</v>
      </c>
      <c r="H26" s="668">
        <f>G26/$G$48*100</f>
        <v>2.4871601607481848</v>
      </c>
      <c r="I26" s="669">
        <v>4106.25</v>
      </c>
      <c r="J26" s="670">
        <f>E26*I26</f>
        <v>190119333.9375</v>
      </c>
      <c r="K26" s="671">
        <f>J26/$G$48*100</f>
        <v>1.5712156015495742</v>
      </c>
      <c r="L26" s="672">
        <f t="shared" si="1"/>
        <v>63.17307692307692</v>
      </c>
      <c r="M26" s="666"/>
      <c r="N26" s="667">
        <f>M26*E26</f>
        <v>0</v>
      </c>
      <c r="O26" s="673"/>
      <c r="P26" s="674">
        <f>F26-I26</f>
        <v>2393.75</v>
      </c>
      <c r="Q26" s="667">
        <f>P26*E26</f>
        <v>110830601.0625</v>
      </c>
      <c r="R26" s="710"/>
      <c r="T26" s="676">
        <f>I26/F26*100</f>
        <v>63.17307692307692</v>
      </c>
    </row>
    <row r="27" spans="1:20" ht="16.5" customHeight="1">
      <c r="A27" s="707" t="s">
        <v>16</v>
      </c>
      <c r="B27" s="708"/>
      <c r="C27" s="709" t="s">
        <v>17</v>
      </c>
      <c r="D27" s="664" t="s">
        <v>460</v>
      </c>
      <c r="E27" s="665">
        <v>198647.53</v>
      </c>
      <c r="F27" s="666">
        <v>7020</v>
      </c>
      <c r="G27" s="667">
        <f>E27*F27</f>
        <v>1394505660.5999999</v>
      </c>
      <c r="H27" s="668">
        <f>G27/$G$48*100</f>
        <v>11.524704010925104</v>
      </c>
      <c r="I27" s="669">
        <v>7056</v>
      </c>
      <c r="J27" s="670">
        <f>E27*I27</f>
        <v>1401656971.6800001</v>
      </c>
      <c r="K27" s="671">
        <f>J27/$G$48*100</f>
        <v>11.583805057134978</v>
      </c>
      <c r="L27" s="672">
        <f t="shared" si="1"/>
        <v>100.51282051282051</v>
      </c>
      <c r="M27" s="666">
        <f>I27-F27</f>
        <v>36</v>
      </c>
      <c r="N27" s="667">
        <f>M27*E27</f>
        <v>7151311.0800000001</v>
      </c>
      <c r="O27" s="673"/>
      <c r="P27" s="674"/>
      <c r="Q27" s="667">
        <f>P27*E27</f>
        <v>0</v>
      </c>
      <c r="R27" s="710"/>
      <c r="T27" s="676">
        <f t="shared" si="0"/>
        <v>100.51282051282051</v>
      </c>
    </row>
    <row r="28" spans="1:20" s="719" customFormat="1" ht="16.5" customHeight="1">
      <c r="A28" s="707" t="s">
        <v>18</v>
      </c>
      <c r="B28" s="708"/>
      <c r="C28" s="709" t="s">
        <v>19</v>
      </c>
      <c r="D28" s="711" t="s">
        <v>20</v>
      </c>
      <c r="E28" s="712">
        <v>1458.8</v>
      </c>
      <c r="F28" s="713">
        <v>18000</v>
      </c>
      <c r="G28" s="714">
        <f>E28*F28</f>
        <v>26258400</v>
      </c>
      <c r="H28" s="715">
        <f>G28/$G$48*100</f>
        <v>0.21700900638170975</v>
      </c>
      <c r="I28" s="669">
        <v>25220</v>
      </c>
      <c r="J28" s="670">
        <f>E28*I28</f>
        <v>36790936</v>
      </c>
      <c r="K28" s="671">
        <f>J28/$G$48*100</f>
        <v>0.30405373005259551</v>
      </c>
      <c r="L28" s="672">
        <f t="shared" si="1"/>
        <v>140.11111111111111</v>
      </c>
      <c r="M28" s="713">
        <f>I28-F28</f>
        <v>7220</v>
      </c>
      <c r="N28" s="714">
        <f>M28*E28</f>
        <v>10532536</v>
      </c>
      <c r="O28" s="716"/>
      <c r="P28" s="717"/>
      <c r="Q28" s="714">
        <f>P28*E28</f>
        <v>0</v>
      </c>
      <c r="R28" s="718"/>
      <c r="T28" s="676">
        <f t="shared" si="0"/>
        <v>140.11111111111111</v>
      </c>
    </row>
    <row r="29" spans="1:20" s="691" customFormat="1" ht="16.5" customHeight="1">
      <c r="A29" s="677"/>
      <c r="B29" s="678"/>
      <c r="C29" s="679" t="s">
        <v>426</v>
      </c>
      <c r="D29" s="680"/>
      <c r="E29" s="681"/>
      <c r="F29" s="682"/>
      <c r="G29" s="683">
        <f>SUM(G30)</f>
        <v>186131463.29999998</v>
      </c>
      <c r="H29" s="684">
        <f>SUM(H30)</f>
        <v>1.5382583823502829</v>
      </c>
      <c r="I29" s="692"/>
      <c r="J29" s="683">
        <f>SUM(J30)</f>
        <v>1130576295.5999999</v>
      </c>
      <c r="K29" s="685">
        <f>SUM(K30)</f>
        <v>9.3434953594609773</v>
      </c>
      <c r="L29" s="686"/>
      <c r="M29" s="682"/>
      <c r="N29" s="687"/>
      <c r="O29" s="688"/>
      <c r="P29" s="689"/>
      <c r="Q29" s="687"/>
      <c r="R29" s="690"/>
      <c r="T29" s="676"/>
    </row>
    <row r="30" spans="1:20" s="705" customFormat="1" ht="16.5" customHeight="1">
      <c r="A30" s="693" t="s">
        <v>136</v>
      </c>
      <c r="B30" s="694"/>
      <c r="C30" s="695" t="s">
        <v>275</v>
      </c>
      <c r="D30" s="696" t="s">
        <v>460</v>
      </c>
      <c r="E30" s="697">
        <v>459583.86</v>
      </c>
      <c r="F30" s="698">
        <v>405</v>
      </c>
      <c r="G30" s="699">
        <f>E30*F30</f>
        <v>186131463.29999998</v>
      </c>
      <c r="H30" s="700">
        <f>G30/$G$48*100</f>
        <v>1.5382583823502829</v>
      </c>
      <c r="I30" s="669">
        <f>0.2*4100*3</f>
        <v>2460</v>
      </c>
      <c r="J30" s="670">
        <f>E30*I30</f>
        <v>1130576295.5999999</v>
      </c>
      <c r="K30" s="671">
        <f>J30/$G$48*100</f>
        <v>9.3434953594609773</v>
      </c>
      <c r="L30" s="701">
        <f t="shared" si="1"/>
        <v>607.40740740740739</v>
      </c>
      <c r="M30" s="698">
        <f>I30-F30</f>
        <v>2055</v>
      </c>
      <c r="N30" s="699">
        <f>M30*E30</f>
        <v>944444832.29999995</v>
      </c>
      <c r="O30" s="702"/>
      <c r="P30" s="703"/>
      <c r="Q30" s="699">
        <f>P30*E30</f>
        <v>0</v>
      </c>
      <c r="R30" s="704"/>
      <c r="T30" s="706">
        <f>I30/F30*100</f>
        <v>607.40740740740739</v>
      </c>
    </row>
    <row r="31" spans="1:20" s="691" customFormat="1" ht="16.5" customHeight="1">
      <c r="A31" s="677"/>
      <c r="B31" s="678"/>
      <c r="C31" s="679" t="s">
        <v>427</v>
      </c>
      <c r="D31" s="680"/>
      <c r="E31" s="681"/>
      <c r="F31" s="682"/>
      <c r="G31" s="683">
        <f>SUM(G32:G32)</f>
        <v>2088073620.8000002</v>
      </c>
      <c r="H31" s="684">
        <f>SUM(H32:H32)</f>
        <v>17.256602904276992</v>
      </c>
      <c r="I31" s="720"/>
      <c r="J31" s="683">
        <f>SUM(J32:J32)</f>
        <v>2586828162.2900004</v>
      </c>
      <c r="K31" s="685">
        <f>SUM(K32:K32)</f>
        <v>21.378492565380114</v>
      </c>
      <c r="L31" s="686"/>
      <c r="M31" s="682"/>
      <c r="N31" s="687"/>
      <c r="O31" s="688"/>
      <c r="P31" s="689"/>
      <c r="Q31" s="687"/>
      <c r="R31" s="721"/>
      <c r="T31" s="676"/>
    </row>
    <row r="32" spans="1:20" s="719" customFormat="1" ht="16.5" customHeight="1">
      <c r="A32" s="693" t="s">
        <v>428</v>
      </c>
      <c r="B32" s="694"/>
      <c r="C32" s="695" t="s">
        <v>21</v>
      </c>
      <c r="D32" s="711" t="s">
        <v>460</v>
      </c>
      <c r="E32" s="712">
        <v>567411.31000000006</v>
      </c>
      <c r="F32" s="713">
        <v>3680</v>
      </c>
      <c r="G32" s="714">
        <f>E32*F32</f>
        <v>2088073620.8000002</v>
      </c>
      <c r="H32" s="715">
        <f>G32/$G$48*100</f>
        <v>17.256602904276992</v>
      </c>
      <c r="I32" s="669">
        <v>4559</v>
      </c>
      <c r="J32" s="670">
        <f>E32*I32</f>
        <v>2586828162.2900004</v>
      </c>
      <c r="K32" s="671">
        <f>J32/$G$48*100</f>
        <v>21.378492565380114</v>
      </c>
      <c r="L32" s="672">
        <f t="shared" si="1"/>
        <v>123.88586956521739</v>
      </c>
      <c r="M32" s="713">
        <f>I32-F32</f>
        <v>879</v>
      </c>
      <c r="N32" s="714">
        <f>M32*E32</f>
        <v>498754541.49000007</v>
      </c>
      <c r="O32" s="716"/>
      <c r="P32" s="717"/>
      <c r="Q32" s="714">
        <f>P32*E32</f>
        <v>0</v>
      </c>
      <c r="R32" s="718"/>
      <c r="T32" s="676">
        <f t="shared" si="0"/>
        <v>123.88586956521739</v>
      </c>
    </row>
    <row r="33" spans="1:21" s="691" customFormat="1" ht="16.5" customHeight="1">
      <c r="A33" s="677"/>
      <c r="B33" s="678"/>
      <c r="C33" s="679" t="s">
        <v>429</v>
      </c>
      <c r="D33" s="680"/>
      <c r="E33" s="681"/>
      <c r="F33" s="682"/>
      <c r="G33" s="683">
        <f>SUM(G34:G36)</f>
        <v>3312336229.2000003</v>
      </c>
      <c r="H33" s="684">
        <f>SUM(H34:H36)</f>
        <v>27.374356164154371</v>
      </c>
      <c r="I33" s="720"/>
      <c r="J33" s="683">
        <f>SUM(J34:J36)</f>
        <v>4181341114.7286</v>
      </c>
      <c r="K33" s="685">
        <f>SUM(K34:K36)</f>
        <v>34.556129872735731</v>
      </c>
      <c r="L33" s="686"/>
      <c r="M33" s="682"/>
      <c r="N33" s="687"/>
      <c r="O33" s="688"/>
      <c r="P33" s="689"/>
      <c r="Q33" s="687"/>
      <c r="R33" s="721"/>
      <c r="T33" s="676"/>
    </row>
    <row r="34" spans="1:21" s="719" customFormat="1" ht="16.5" customHeight="1">
      <c r="A34" s="693" t="s">
        <v>22</v>
      </c>
      <c r="B34" s="694"/>
      <c r="C34" s="695" t="s">
        <v>430</v>
      </c>
      <c r="D34" s="711" t="s">
        <v>128</v>
      </c>
      <c r="E34" s="712">
        <v>16247.17</v>
      </c>
      <c r="F34" s="713">
        <v>9000</v>
      </c>
      <c r="G34" s="667">
        <f>E34*F34</f>
        <v>146224530</v>
      </c>
      <c r="H34" s="715">
        <f>G34/$G$48*100</f>
        <v>1.208452912741542</v>
      </c>
      <c r="I34" s="669">
        <v>24007.500000000004</v>
      </c>
      <c r="J34" s="670">
        <f>E34*I34</f>
        <v>390053933.77500004</v>
      </c>
      <c r="K34" s="671">
        <f>J34/$G$48*100</f>
        <v>3.2235481447380634</v>
      </c>
      <c r="L34" s="672">
        <f t="shared" si="1"/>
        <v>266.75000000000006</v>
      </c>
      <c r="M34" s="713">
        <f>I34-F34</f>
        <v>15007.500000000004</v>
      </c>
      <c r="N34" s="714">
        <f>M34*E34</f>
        <v>243829403.77500007</v>
      </c>
      <c r="O34" s="716"/>
      <c r="P34" s="717"/>
      <c r="Q34" s="714">
        <f>P34*E34</f>
        <v>0</v>
      </c>
      <c r="R34" s="718"/>
      <c r="T34" s="676">
        <f t="shared" si="0"/>
        <v>266.75000000000006</v>
      </c>
    </row>
    <row r="35" spans="1:21" ht="16.5" customHeight="1">
      <c r="A35" s="661" t="s">
        <v>431</v>
      </c>
      <c r="B35" s="662"/>
      <c r="C35" s="663" t="s">
        <v>432</v>
      </c>
      <c r="D35" s="664" t="s">
        <v>92</v>
      </c>
      <c r="E35" s="665">
        <v>1517822.56</v>
      </c>
      <c r="F35" s="666">
        <v>2070</v>
      </c>
      <c r="G35" s="667">
        <f>E35*F35</f>
        <v>3141892699.2000003</v>
      </c>
      <c r="H35" s="668">
        <f>G35/$G$48*100</f>
        <v>25.965748591358956</v>
      </c>
      <c r="I35" s="669">
        <v>2485.06</v>
      </c>
      <c r="J35" s="670">
        <f>E35*I35</f>
        <v>3771880130.9535999</v>
      </c>
      <c r="K35" s="671">
        <f>J35/$G$48*100</f>
        <v>31.172194779923906</v>
      </c>
      <c r="L35" s="672">
        <f t="shared" si="1"/>
        <v>120.0512077294686</v>
      </c>
      <c r="M35" s="666">
        <f>I35-F35</f>
        <v>415.05999999999995</v>
      </c>
      <c r="N35" s="667">
        <f>M35*E35</f>
        <v>629987431.75359988</v>
      </c>
      <c r="O35" s="673"/>
      <c r="P35" s="674"/>
      <c r="Q35" s="667">
        <f>P35*E35</f>
        <v>0</v>
      </c>
      <c r="R35" s="710"/>
      <c r="T35" s="676">
        <f t="shared" si="0"/>
        <v>120.0512077294686</v>
      </c>
    </row>
    <row r="36" spans="1:21" ht="16.5" customHeight="1">
      <c r="A36" s="661" t="s">
        <v>433</v>
      </c>
      <c r="B36" s="662"/>
      <c r="C36" s="663" t="s">
        <v>434</v>
      </c>
      <c r="D36" s="664" t="s">
        <v>127</v>
      </c>
      <c r="E36" s="665">
        <v>65000</v>
      </c>
      <c r="F36" s="666">
        <v>372.6</v>
      </c>
      <c r="G36" s="667">
        <f>E36*F36</f>
        <v>24219000</v>
      </c>
      <c r="H36" s="668">
        <f>G36/$G$48*100</f>
        <v>0.20015466005387336</v>
      </c>
      <c r="I36" s="669">
        <v>298.57</v>
      </c>
      <c r="J36" s="670">
        <f>E36*I36</f>
        <v>19407050</v>
      </c>
      <c r="K36" s="671">
        <f>J36/$G$48*100</f>
        <v>0.16038694807376533</v>
      </c>
      <c r="L36" s="672">
        <f t="shared" si="1"/>
        <v>80.131508319914118</v>
      </c>
      <c r="M36" s="666"/>
      <c r="N36" s="667">
        <f>M36*E36</f>
        <v>0</v>
      </c>
      <c r="O36" s="673"/>
      <c r="P36" s="674">
        <f>F36-I36</f>
        <v>74.03000000000003</v>
      </c>
      <c r="Q36" s="667">
        <f>P36*E36</f>
        <v>4811950.0000000019</v>
      </c>
      <c r="R36" s="710"/>
      <c r="T36" s="676">
        <f t="shared" si="0"/>
        <v>80.131508319914118</v>
      </c>
    </row>
    <row r="37" spans="1:21" s="691" customFormat="1" ht="16.5" customHeight="1">
      <c r="A37" s="677"/>
      <c r="B37" s="678"/>
      <c r="C37" s="679" t="s">
        <v>435</v>
      </c>
      <c r="D37" s="680"/>
      <c r="E37" s="681"/>
      <c r="F37" s="682"/>
      <c r="G37" s="722">
        <f>SUM(G38:G41)</f>
        <v>3697889194.7216001</v>
      </c>
      <c r="H37" s="723">
        <f>SUM(H38:H41)</f>
        <v>30.560706663627453</v>
      </c>
      <c r="I37" s="720"/>
      <c r="J37" s="722">
        <f>SUM(J38:J41)</f>
        <v>1627053718.2241993</v>
      </c>
      <c r="K37" s="724">
        <f>SUM(K38:K41)</f>
        <v>13.446566078721469</v>
      </c>
      <c r="L37" s="686"/>
      <c r="M37" s="682"/>
      <c r="N37" s="687"/>
      <c r="O37" s="688"/>
      <c r="P37" s="689"/>
      <c r="Q37" s="687"/>
      <c r="R37" s="721"/>
      <c r="T37" s="676"/>
    </row>
    <row r="38" spans="1:21" ht="16.5" customHeight="1">
      <c r="A38" s="661" t="s">
        <v>436</v>
      </c>
      <c r="B38" s="662"/>
      <c r="C38" s="663" t="s">
        <v>142</v>
      </c>
      <c r="D38" s="664" t="s">
        <v>460</v>
      </c>
      <c r="E38" s="665">
        <v>1972777.88</v>
      </c>
      <c r="F38" s="666">
        <v>1546.32</v>
      </c>
      <c r="G38" s="667">
        <f>E38*F38</f>
        <v>3050545891.4015999</v>
      </c>
      <c r="H38" s="668">
        <f>G38/$G$48*100</f>
        <v>25.210825214592976</v>
      </c>
      <c r="I38" s="669">
        <f>'[39]K-200'!R24</f>
        <v>450.00000000000006</v>
      </c>
      <c r="J38" s="670">
        <f>E38*I38</f>
        <v>887750046.00000012</v>
      </c>
      <c r="K38" s="671">
        <f>J38/$G$48*100</f>
        <v>7.3366905598885355</v>
      </c>
      <c r="L38" s="672">
        <f t="shared" si="1"/>
        <v>29.101350302654051</v>
      </c>
      <c r="M38" s="666"/>
      <c r="N38" s="667">
        <f>M38*E38</f>
        <v>0</v>
      </c>
      <c r="O38" s="673"/>
      <c r="P38" s="674">
        <f>F38-I38</f>
        <v>1096.32</v>
      </c>
      <c r="Q38" s="667">
        <f>P38*E38</f>
        <v>2162795845.4015999</v>
      </c>
      <c r="R38" s="710"/>
      <c r="T38" s="676">
        <f t="shared" si="0"/>
        <v>29.101350302654051</v>
      </c>
    </row>
    <row r="39" spans="1:21" ht="16.5" customHeight="1">
      <c r="A39" s="661" t="s">
        <v>437</v>
      </c>
      <c r="B39" s="662"/>
      <c r="C39" s="663" t="s">
        <v>438</v>
      </c>
      <c r="D39" s="664" t="s">
        <v>127</v>
      </c>
      <c r="E39" s="665">
        <v>14652</v>
      </c>
      <c r="F39" s="666">
        <v>2789.72</v>
      </c>
      <c r="G39" s="667">
        <f>E39*F39</f>
        <v>40874977.439999998</v>
      </c>
      <c r="H39" s="668">
        <f>G39/$G$48*100</f>
        <v>0.33780573988244522</v>
      </c>
      <c r="I39" s="669">
        <v>1</v>
      </c>
      <c r="J39" s="670">
        <f>E39*I39</f>
        <v>14652</v>
      </c>
      <c r="K39" s="671">
        <f>J39/$G$48*100</f>
        <v>1.2108947847183421E-4</v>
      </c>
      <c r="L39" s="672">
        <f t="shared" si="1"/>
        <v>3.5845891343934164E-2</v>
      </c>
      <c r="M39" s="666"/>
      <c r="N39" s="667">
        <f>M39*E39</f>
        <v>0</v>
      </c>
      <c r="O39" s="673"/>
      <c r="P39" s="674">
        <f>F39-I39</f>
        <v>2788.72</v>
      </c>
      <c r="Q39" s="667">
        <f>P39*E39</f>
        <v>40860325.439999998</v>
      </c>
      <c r="R39" s="710"/>
      <c r="T39" s="676">
        <f t="shared" si="0"/>
        <v>3.5845891343934164E-2</v>
      </c>
    </row>
    <row r="40" spans="1:21" s="705" customFormat="1" ht="16.5" customHeight="1">
      <c r="A40" s="707" t="s">
        <v>23</v>
      </c>
      <c r="B40" s="708"/>
      <c r="C40" s="709" t="s">
        <v>24</v>
      </c>
      <c r="D40" s="696" t="s">
        <v>460</v>
      </c>
      <c r="E40" s="697">
        <v>590790.22</v>
      </c>
      <c r="F40" s="698">
        <v>754</v>
      </c>
      <c r="G40" s="699">
        <f>E40*F40</f>
        <v>445455825.88</v>
      </c>
      <c r="H40" s="700">
        <f>G40/$G$48*100</f>
        <v>3.6814096122064823</v>
      </c>
      <c r="I40" s="669">
        <v>1196.8487227567839</v>
      </c>
      <c r="J40" s="670">
        <f>E40*I40</f>
        <v>707086520.2241993</v>
      </c>
      <c r="K40" s="671">
        <f>J40/$G$48*100</f>
        <v>5.8436212099653515</v>
      </c>
      <c r="L40" s="701">
        <f t="shared" si="1"/>
        <v>158.73325235501113</v>
      </c>
      <c r="M40" s="698">
        <f>I40-F40</f>
        <v>442.8487227567839</v>
      </c>
      <c r="N40" s="699">
        <f>M40*E40</f>
        <v>261630694.34419936</v>
      </c>
      <c r="O40" s="702"/>
      <c r="P40" s="703"/>
      <c r="Q40" s="699">
        <f>P40*E40</f>
        <v>0</v>
      </c>
      <c r="R40" s="725"/>
      <c r="T40" s="706">
        <f>I40/F40*100</f>
        <v>158.73325235501113</v>
      </c>
    </row>
    <row r="41" spans="1:21" s="705" customFormat="1" ht="16.5" customHeight="1">
      <c r="A41" s="707" t="s">
        <v>143</v>
      </c>
      <c r="B41" s="708"/>
      <c r="C41" s="709" t="s">
        <v>138</v>
      </c>
      <c r="D41" s="696" t="s">
        <v>460</v>
      </c>
      <c r="E41" s="697">
        <v>644050</v>
      </c>
      <c r="F41" s="698">
        <v>250</v>
      </c>
      <c r="G41" s="699">
        <f>E41*F41</f>
        <v>161012500</v>
      </c>
      <c r="H41" s="700">
        <f>G41/$G$48*100</f>
        <v>1.3306660969455504</v>
      </c>
      <c r="I41" s="669">
        <v>50</v>
      </c>
      <c r="J41" s="670">
        <f>E41*I41</f>
        <v>32202500</v>
      </c>
      <c r="K41" s="671">
        <f>J41/$G$48*100</f>
        <v>0.26613321938911005</v>
      </c>
      <c r="L41" s="701">
        <f t="shared" si="1"/>
        <v>20</v>
      </c>
      <c r="M41" s="698"/>
      <c r="N41" s="699">
        <f>M41*E41</f>
        <v>0</v>
      </c>
      <c r="O41" s="702"/>
      <c r="P41" s="703">
        <f>F41-I41</f>
        <v>200</v>
      </c>
      <c r="Q41" s="699">
        <f>P41*E41</f>
        <v>128810000</v>
      </c>
      <c r="R41" s="725"/>
      <c r="T41" s="706">
        <f t="shared" si="0"/>
        <v>20</v>
      </c>
    </row>
    <row r="42" spans="1:21" s="691" customFormat="1" ht="16.5" customHeight="1">
      <c r="A42" s="677"/>
      <c r="B42" s="678"/>
      <c r="C42" s="679" t="s">
        <v>439</v>
      </c>
      <c r="D42" s="680"/>
      <c r="E42" s="681"/>
      <c r="F42" s="682"/>
      <c r="G42" s="683">
        <f>SUM(G43:G45)</f>
        <v>2790150</v>
      </c>
      <c r="H42" s="684">
        <f>SUM(H43:H45)</f>
        <v>2.3058818479264824E-2</v>
      </c>
      <c r="I42" s="720"/>
      <c r="J42" s="683">
        <f>SUM(J43:J45)</f>
        <v>2790150</v>
      </c>
      <c r="K42" s="685">
        <f>SUM(K43:K45)</f>
        <v>2.3058818479264824E-2</v>
      </c>
      <c r="L42" s="686"/>
      <c r="M42" s="682"/>
      <c r="N42" s="687"/>
      <c r="O42" s="688"/>
      <c r="P42" s="689"/>
      <c r="Q42" s="687"/>
      <c r="R42" s="721"/>
      <c r="T42" s="676"/>
    </row>
    <row r="43" spans="1:21" ht="16.5" customHeight="1">
      <c r="A43" s="661" t="s">
        <v>440</v>
      </c>
      <c r="B43" s="662"/>
      <c r="C43" s="663" t="s">
        <v>139</v>
      </c>
      <c r="D43" s="664" t="s">
        <v>54</v>
      </c>
      <c r="E43" s="665">
        <v>19800</v>
      </c>
      <c r="F43" s="666">
        <v>48</v>
      </c>
      <c r="G43" s="667">
        <f>E43*F43</f>
        <v>950400</v>
      </c>
      <c r="H43" s="668">
        <f>G43/$G$48*100</f>
        <v>7.854452657632488E-3</v>
      </c>
      <c r="I43" s="669">
        <v>48</v>
      </c>
      <c r="J43" s="670">
        <f>E43*I43</f>
        <v>950400</v>
      </c>
      <c r="K43" s="671">
        <f>J43/$G$48*100</f>
        <v>7.854452657632488E-3</v>
      </c>
      <c r="L43" s="672">
        <f t="shared" si="1"/>
        <v>100</v>
      </c>
      <c r="M43" s="666">
        <f>I43-F43</f>
        <v>0</v>
      </c>
      <c r="N43" s="667">
        <f>M43*E43</f>
        <v>0</v>
      </c>
      <c r="O43" s="673"/>
      <c r="P43" s="674">
        <f>F43-I43</f>
        <v>0</v>
      </c>
      <c r="Q43" s="667">
        <f>P43*E43</f>
        <v>0</v>
      </c>
      <c r="R43" s="710"/>
      <c r="T43" s="676">
        <f t="shared" si="0"/>
        <v>100</v>
      </c>
    </row>
    <row r="44" spans="1:21" ht="16.5" customHeight="1">
      <c r="A44" s="661" t="s">
        <v>441</v>
      </c>
      <c r="B44" s="662"/>
      <c r="C44" s="663" t="s">
        <v>140</v>
      </c>
      <c r="D44" s="664" t="s">
        <v>54</v>
      </c>
      <c r="E44" s="665">
        <v>11550</v>
      </c>
      <c r="F44" s="666">
        <v>65</v>
      </c>
      <c r="G44" s="667">
        <f>E44*F44</f>
        <v>750750</v>
      </c>
      <c r="H44" s="668">
        <f>G44/$G$48*100</f>
        <v>6.2044721514284409E-3</v>
      </c>
      <c r="I44" s="669">
        <v>65</v>
      </c>
      <c r="J44" s="670">
        <f>E44*I44</f>
        <v>750750</v>
      </c>
      <c r="K44" s="671">
        <f>J44/$G$48*100</f>
        <v>6.2044721514284409E-3</v>
      </c>
      <c r="L44" s="672">
        <f t="shared" si="1"/>
        <v>100</v>
      </c>
      <c r="M44" s="666">
        <f>I44-F44</f>
        <v>0</v>
      </c>
      <c r="N44" s="667">
        <f>M44*E44</f>
        <v>0</v>
      </c>
      <c r="O44" s="673"/>
      <c r="P44" s="674">
        <f>F44-I44</f>
        <v>0</v>
      </c>
      <c r="Q44" s="667">
        <f>P44*E44</f>
        <v>0</v>
      </c>
      <c r="R44" s="710"/>
      <c r="T44" s="676">
        <f t="shared" si="0"/>
        <v>100</v>
      </c>
    </row>
    <row r="45" spans="1:21" ht="16.5" customHeight="1">
      <c r="A45" s="661" t="s">
        <v>442</v>
      </c>
      <c r="B45" s="662"/>
      <c r="C45" s="663" t="s">
        <v>443</v>
      </c>
      <c r="D45" s="664" t="s">
        <v>54</v>
      </c>
      <c r="E45" s="665">
        <v>16500</v>
      </c>
      <c r="F45" s="666">
        <v>66</v>
      </c>
      <c r="G45" s="726">
        <f>E45*F45</f>
        <v>1089000</v>
      </c>
      <c r="H45" s="668">
        <f>G45/$G$48*100</f>
        <v>8.9998936702038925E-3</v>
      </c>
      <c r="I45" s="669">
        <v>66</v>
      </c>
      <c r="J45" s="670">
        <f>E45*I45</f>
        <v>1089000</v>
      </c>
      <c r="K45" s="671">
        <f>J45/$G$48*100</f>
        <v>8.9998936702038925E-3</v>
      </c>
      <c r="L45" s="672">
        <f t="shared" si="1"/>
        <v>100</v>
      </c>
      <c r="M45" s="666">
        <f>I45-F45</f>
        <v>0</v>
      </c>
      <c r="N45" s="667">
        <f>M45*E45</f>
        <v>0</v>
      </c>
      <c r="O45" s="673"/>
      <c r="P45" s="674">
        <f>F45-I45</f>
        <v>0</v>
      </c>
      <c r="Q45" s="667">
        <f>P45*E45</f>
        <v>0</v>
      </c>
      <c r="R45" s="710"/>
      <c r="T45" s="676">
        <f t="shared" si="0"/>
        <v>100</v>
      </c>
    </row>
    <row r="46" spans="1:21" s="691" customFormat="1" ht="16.5" customHeight="1">
      <c r="A46" s="677"/>
      <c r="B46" s="678"/>
      <c r="C46" s="679"/>
      <c r="D46" s="680"/>
      <c r="E46" s="681"/>
      <c r="F46" s="682"/>
      <c r="G46" s="683"/>
      <c r="H46" s="684"/>
      <c r="I46" s="720"/>
      <c r="J46" s="683"/>
      <c r="K46" s="685"/>
      <c r="L46" s="686"/>
      <c r="M46" s="682"/>
      <c r="N46" s="687"/>
      <c r="O46" s="688"/>
      <c r="P46" s="689"/>
      <c r="Q46" s="687"/>
      <c r="R46" s="721"/>
      <c r="T46" s="676"/>
    </row>
    <row r="47" spans="1:21" s="739" customFormat="1" ht="9.75" customHeight="1" thickBot="1">
      <c r="A47" s="727"/>
      <c r="B47" s="728"/>
      <c r="C47" s="729"/>
      <c r="D47" s="730"/>
      <c r="E47" s="731"/>
      <c r="F47" s="732"/>
      <c r="G47" s="733"/>
      <c r="H47" s="734"/>
      <c r="I47" s="735"/>
      <c r="J47" s="670"/>
      <c r="K47" s="736"/>
      <c r="L47" s="672"/>
      <c r="M47" s="666"/>
      <c r="N47" s="667"/>
      <c r="O47" s="737"/>
      <c r="P47" s="674"/>
      <c r="Q47" s="667"/>
      <c r="R47" s="738"/>
    </row>
    <row r="48" spans="1:21" ht="15">
      <c r="A48" s="740"/>
      <c r="B48" s="741"/>
      <c r="C48" s="742" t="s">
        <v>10</v>
      </c>
      <c r="D48" s="743"/>
      <c r="E48" s="744"/>
      <c r="F48" s="745"/>
      <c r="G48" s="746">
        <f>SUM(G16:G46)/2</f>
        <v>12100142956.1926</v>
      </c>
      <c r="H48" s="747">
        <v>100</v>
      </c>
      <c r="I48" s="748"/>
      <c r="J48" s="748">
        <f>SUM(J16:J46)/2</f>
        <v>12100142956.1926</v>
      </c>
      <c r="K48" s="749">
        <f>SUM(K16:K46)/2</f>
        <v>100</v>
      </c>
      <c r="L48" s="750"/>
      <c r="M48" s="745"/>
      <c r="N48" s="746">
        <f>SUM(N16:N45)</f>
        <v>2690544580.6757994</v>
      </c>
      <c r="O48" s="747">
        <f>SUM(O16:O45)</f>
        <v>0</v>
      </c>
      <c r="P48" s="746"/>
      <c r="Q48" s="746">
        <f>SUM(Q16:Q45)</f>
        <v>2690544580.6757998</v>
      </c>
      <c r="R48" s="751">
        <f>SUM(R16:R45)</f>
        <v>0</v>
      </c>
      <c r="U48" s="752">
        <f>U50-U49</f>
        <v>0</v>
      </c>
    </row>
    <row r="49" spans="1:21" ht="15">
      <c r="A49" s="753"/>
      <c r="B49" s="754"/>
      <c r="C49" s="755" t="s">
        <v>444</v>
      </c>
      <c r="D49" s="756"/>
      <c r="E49" s="757"/>
      <c r="F49" s="758"/>
      <c r="G49" s="759">
        <f>G48*10/100</f>
        <v>1210014295.6192598</v>
      </c>
      <c r="H49" s="760"/>
      <c r="I49" s="761"/>
      <c r="J49" s="761">
        <f>J48*10/100</f>
        <v>1210014295.6192598</v>
      </c>
      <c r="K49" s="762"/>
      <c r="L49" s="763"/>
      <c r="M49" s="758"/>
      <c r="N49" s="759">
        <f>N48*10/100</f>
        <v>269054458.06757998</v>
      </c>
      <c r="O49" s="760"/>
      <c r="P49" s="759"/>
      <c r="Q49" s="759">
        <f>Q48*10/100</f>
        <v>269054458.06757998</v>
      </c>
      <c r="R49" s="764"/>
      <c r="U49" s="752">
        <f>U50*10/110</f>
        <v>0</v>
      </c>
    </row>
    <row r="50" spans="1:21" s="768" customFormat="1" ht="15">
      <c r="A50" s="765"/>
      <c r="B50" s="766"/>
      <c r="C50" s="755" t="s">
        <v>129</v>
      </c>
      <c r="D50" s="767"/>
      <c r="E50" s="757"/>
      <c r="F50" s="758"/>
      <c r="G50" s="759">
        <f>G49+G48</f>
        <v>13310157251.811859</v>
      </c>
      <c r="H50" s="760"/>
      <c r="I50" s="761"/>
      <c r="J50" s="761">
        <f>J49+J48</f>
        <v>13310157251.811859</v>
      </c>
      <c r="K50" s="762"/>
      <c r="L50" s="763"/>
      <c r="M50" s="758"/>
      <c r="N50" s="759">
        <f>N49+N48</f>
        <v>2959599038.7433796</v>
      </c>
      <c r="O50" s="760"/>
      <c r="P50" s="759"/>
      <c r="Q50" s="759">
        <f>Q49+Q48</f>
        <v>2959599038.7433796</v>
      </c>
      <c r="R50" s="764"/>
      <c r="U50" s="752">
        <f>ROUNDDOWN(U51,-3)</f>
        <v>0</v>
      </c>
    </row>
    <row r="51" spans="1:21" ht="15.75" thickBot="1">
      <c r="A51" s="769"/>
      <c r="B51" s="770"/>
      <c r="C51" s="771" t="s">
        <v>445</v>
      </c>
      <c r="D51" s="772"/>
      <c r="E51" s="773"/>
      <c r="F51" s="774"/>
      <c r="G51" s="775">
        <f>ROUNDDOWN(G50,-3)</f>
        <v>13310157000</v>
      </c>
      <c r="H51" s="776"/>
      <c r="I51" s="777"/>
      <c r="J51" s="777">
        <f>ROUNDDOWN(J50,-3)</f>
        <v>13310157000</v>
      </c>
      <c r="K51" s="778"/>
      <c r="L51" s="779"/>
      <c r="M51" s="774"/>
      <c r="N51" s="775">
        <f>ROUNDDOWN(N50,-3)</f>
        <v>2959599000</v>
      </c>
      <c r="O51" s="776"/>
      <c r="P51" s="775"/>
      <c r="Q51" s="775">
        <f>ROUNDDOWN(Q50,-3)</f>
        <v>2959599000</v>
      </c>
      <c r="R51" s="780"/>
      <c r="U51" s="752">
        <f>J56*100%</f>
        <v>0</v>
      </c>
    </row>
    <row r="52" spans="1:21" s="788" customFormat="1">
      <c r="A52" s="781"/>
      <c r="B52" s="782"/>
      <c r="C52" s="783"/>
      <c r="D52" s="784"/>
      <c r="E52" s="785"/>
      <c r="F52" s="786"/>
      <c r="G52" s="786"/>
      <c r="H52" s="622"/>
      <c r="I52" s="786"/>
      <c r="J52" s="786"/>
      <c r="K52" s="622"/>
      <c r="L52" s="622"/>
      <c r="M52" s="786"/>
      <c r="N52" s="786"/>
      <c r="O52" s="786"/>
      <c r="P52" s="786"/>
      <c r="Q52" s="786"/>
      <c r="R52" s="787"/>
    </row>
    <row r="53" spans="1:21" s="788" customFormat="1" ht="18.75">
      <c r="A53" s="781"/>
      <c r="B53" s="782"/>
      <c r="C53" s="789" t="s">
        <v>446</v>
      </c>
      <c r="D53" s="784"/>
      <c r="E53" s="785"/>
      <c r="F53" s="786"/>
      <c r="G53" s="786"/>
      <c r="H53" s="622"/>
      <c r="I53" s="786"/>
      <c r="J53" s="790" t="s">
        <v>447</v>
      </c>
      <c r="K53" s="622"/>
      <c r="L53" s="622"/>
      <c r="M53" s="786"/>
      <c r="N53" s="786"/>
      <c r="O53" s="786"/>
      <c r="P53" s="786"/>
      <c r="Q53" s="790" t="s">
        <v>448</v>
      </c>
      <c r="R53" s="787"/>
    </row>
    <row r="54" spans="1:21" s="788" customFormat="1" ht="18.75">
      <c r="A54" s="781"/>
      <c r="B54" s="782"/>
      <c r="C54" s="791" t="s">
        <v>449</v>
      </c>
      <c r="D54" s="784"/>
      <c r="E54" s="785"/>
      <c r="F54" s="786"/>
      <c r="G54" s="792"/>
      <c r="H54" s="622"/>
      <c r="I54" s="786"/>
      <c r="J54" s="793" t="s">
        <v>450</v>
      </c>
      <c r="K54" s="622"/>
      <c r="L54" s="622"/>
      <c r="M54" s="786"/>
      <c r="N54" s="786"/>
      <c r="O54" s="786"/>
      <c r="P54" s="786"/>
      <c r="Q54" s="793" t="s">
        <v>451</v>
      </c>
      <c r="R54" s="787"/>
    </row>
    <row r="55" spans="1:21" s="788" customFormat="1" ht="18.75">
      <c r="A55" s="781"/>
      <c r="B55" s="782"/>
      <c r="C55" s="789" t="s">
        <v>395</v>
      </c>
      <c r="D55" s="784"/>
      <c r="E55" s="785"/>
      <c r="F55" s="786"/>
      <c r="G55" s="792"/>
      <c r="H55" s="622"/>
      <c r="I55" s="786"/>
      <c r="J55" s="794" t="s">
        <v>401</v>
      </c>
      <c r="K55" s="622"/>
      <c r="L55" s="622"/>
      <c r="M55" s="786"/>
      <c r="N55" s="786"/>
      <c r="O55" s="786"/>
      <c r="P55" s="786"/>
      <c r="Q55" s="795" t="s">
        <v>452</v>
      </c>
      <c r="R55" s="787"/>
    </row>
    <row r="56" spans="1:21" s="788" customFormat="1" ht="18.75">
      <c r="A56" s="781"/>
      <c r="B56" s="782"/>
      <c r="C56" s="789"/>
      <c r="D56" s="784"/>
      <c r="E56" s="785"/>
      <c r="F56" s="786"/>
      <c r="G56" s="796"/>
      <c r="H56" s="622"/>
      <c r="I56" s="786"/>
      <c r="J56" s="792">
        <f>G48-J48</f>
        <v>0</v>
      </c>
      <c r="K56" s="622"/>
      <c r="L56" s="622"/>
      <c r="M56" s="786"/>
      <c r="N56" s="786"/>
      <c r="O56" s="786"/>
      <c r="P56" s="786"/>
      <c r="Q56" s="797"/>
      <c r="R56" s="787"/>
    </row>
    <row r="57" spans="1:21" s="788" customFormat="1" ht="18.75">
      <c r="A57" s="781"/>
      <c r="B57" s="782"/>
      <c r="C57" s="789"/>
      <c r="D57" s="784"/>
      <c r="E57" s="798"/>
      <c r="F57" s="786"/>
      <c r="G57" s="792"/>
      <c r="H57" s="622"/>
      <c r="I57" s="786"/>
      <c r="J57" s="799">
        <f>J56/E40</f>
        <v>0</v>
      </c>
      <c r="K57" s="622"/>
      <c r="L57" s="622"/>
      <c r="M57" s="786"/>
      <c r="N57" s="792"/>
      <c r="O57" s="786"/>
      <c r="P57" s="786"/>
      <c r="Q57" s="797"/>
      <c r="R57" s="787"/>
    </row>
    <row r="58" spans="1:21" s="788" customFormat="1" ht="18.75">
      <c r="A58" s="781"/>
      <c r="B58" s="782"/>
      <c r="C58" s="789"/>
      <c r="D58" s="784"/>
      <c r="E58" s="800"/>
      <c r="F58" s="786"/>
      <c r="G58" s="622"/>
      <c r="H58" s="622"/>
      <c r="I58" s="786"/>
      <c r="J58" s="801"/>
      <c r="K58" s="622"/>
      <c r="L58" s="622"/>
      <c r="M58" s="786"/>
      <c r="N58" s="792"/>
      <c r="O58" s="786"/>
      <c r="P58" s="786"/>
      <c r="Q58" s="802"/>
      <c r="R58" s="787"/>
    </row>
    <row r="59" spans="1:21" s="788" customFormat="1" ht="18.75">
      <c r="A59" s="781"/>
      <c r="B59" s="782"/>
      <c r="C59" s="789"/>
      <c r="D59" s="784"/>
      <c r="E59" s="785"/>
      <c r="F59" s="786"/>
      <c r="G59" s="622"/>
      <c r="H59" s="622"/>
      <c r="I59" s="786"/>
      <c r="J59" s="802"/>
      <c r="K59" s="622"/>
      <c r="L59" s="622"/>
      <c r="M59" s="786"/>
      <c r="N59" s="803"/>
      <c r="O59" s="786"/>
      <c r="P59" s="786"/>
      <c r="Q59" s="797"/>
      <c r="R59" s="787"/>
    </row>
    <row r="60" spans="1:21" s="788" customFormat="1" ht="18.75">
      <c r="A60" s="781"/>
      <c r="B60" s="782"/>
      <c r="C60" s="789"/>
      <c r="D60" s="784"/>
      <c r="E60" s="785"/>
      <c r="F60" s="786"/>
      <c r="G60" s="786"/>
      <c r="H60" s="622"/>
      <c r="I60" s="786"/>
      <c r="J60" s="797"/>
      <c r="K60" s="622"/>
      <c r="L60" s="622"/>
      <c r="M60" s="786"/>
      <c r="N60" s="786"/>
      <c r="O60" s="786"/>
      <c r="P60" s="786"/>
      <c r="Q60" s="797"/>
      <c r="R60" s="787"/>
    </row>
    <row r="61" spans="1:21" s="788" customFormat="1" ht="18.75">
      <c r="A61" s="781"/>
      <c r="B61" s="782"/>
      <c r="C61" s="789"/>
      <c r="D61" s="784"/>
      <c r="E61" s="785"/>
      <c r="F61" s="786"/>
      <c r="G61" s="792"/>
      <c r="H61" s="622"/>
      <c r="I61" s="786"/>
      <c r="J61" s="797"/>
      <c r="K61" s="622"/>
      <c r="L61" s="622"/>
      <c r="M61" s="786"/>
      <c r="N61" s="786"/>
      <c r="O61" s="786"/>
      <c r="P61" s="786"/>
      <c r="Q61" s="797"/>
      <c r="R61" s="787"/>
    </row>
    <row r="62" spans="1:21" s="788" customFormat="1" ht="18.75">
      <c r="A62" s="781"/>
      <c r="B62" s="782"/>
      <c r="C62" s="804" t="s">
        <v>453</v>
      </c>
      <c r="D62" s="784"/>
      <c r="E62" s="785"/>
      <c r="F62" s="786"/>
      <c r="G62" s="792"/>
      <c r="H62" s="622"/>
      <c r="I62" s="786"/>
      <c r="J62" s="805" t="s">
        <v>454</v>
      </c>
      <c r="K62" s="622"/>
      <c r="L62" s="622"/>
      <c r="M62" s="786"/>
      <c r="N62" s="786"/>
      <c r="O62" s="786"/>
      <c r="P62" s="786"/>
      <c r="Q62" s="805" t="s">
        <v>455</v>
      </c>
      <c r="R62" s="787"/>
    </row>
    <row r="63" spans="1:21" s="788" customFormat="1" ht="18.75">
      <c r="A63" s="781"/>
      <c r="B63" s="782"/>
      <c r="C63" s="789" t="s">
        <v>456</v>
      </c>
      <c r="D63" s="784"/>
      <c r="E63" s="785"/>
      <c r="F63" s="786"/>
      <c r="G63" s="786"/>
      <c r="H63" s="622"/>
      <c r="I63" s="786"/>
      <c r="J63" s="797" t="s">
        <v>457</v>
      </c>
      <c r="K63" s="622"/>
      <c r="L63" s="622"/>
      <c r="M63" s="786"/>
      <c r="N63" s="786"/>
      <c r="O63" s="786"/>
      <c r="P63" s="786"/>
      <c r="Q63" s="797" t="s">
        <v>458</v>
      </c>
      <c r="R63" s="787"/>
    </row>
    <row r="64" spans="1:21" s="812" customFormat="1" ht="15.75" thickBot="1">
      <c r="A64" s="806"/>
      <c r="B64" s="807"/>
      <c r="C64" s="808"/>
      <c r="D64" s="807"/>
      <c r="E64" s="809"/>
      <c r="F64" s="810"/>
      <c r="G64" s="810"/>
      <c r="H64" s="810"/>
      <c r="I64" s="810"/>
      <c r="J64" s="810"/>
      <c r="K64" s="810"/>
      <c r="L64" s="810"/>
      <c r="M64" s="810"/>
      <c r="N64" s="810"/>
      <c r="O64" s="810"/>
      <c r="P64" s="810"/>
      <c r="Q64" s="810"/>
      <c r="R64" s="811"/>
    </row>
    <row r="65" spans="1:18" s="812" customFormat="1" ht="15.75" thickTop="1">
      <c r="A65" s="813"/>
      <c r="B65" s="813"/>
      <c r="C65" s="814"/>
      <c r="D65" s="782"/>
      <c r="E65" s="785"/>
      <c r="F65" s="786"/>
      <c r="G65" s="815"/>
      <c r="H65" s="815"/>
      <c r="I65" s="786"/>
      <c r="J65" s="815"/>
      <c r="K65" s="815"/>
      <c r="L65" s="815"/>
      <c r="M65" s="786"/>
      <c r="N65" s="815"/>
      <c r="O65" s="815"/>
      <c r="P65" s="786"/>
      <c r="Q65" s="815"/>
      <c r="R65" s="815"/>
    </row>
    <row r="66" spans="1:18">
      <c r="C66" s="817" t="s">
        <v>459</v>
      </c>
      <c r="D66" s="818"/>
      <c r="E66" s="819"/>
      <c r="F66" s="820"/>
      <c r="I66" s="820"/>
      <c r="M66" s="820"/>
      <c r="P66" s="820"/>
    </row>
    <row r="67" spans="1:18">
      <c r="C67" s="821"/>
      <c r="D67" s="818"/>
      <c r="E67" s="819"/>
      <c r="F67" s="820"/>
      <c r="I67" s="820"/>
      <c r="M67" s="820"/>
      <c r="P67" s="820"/>
    </row>
    <row r="68" spans="1:18" s="768" customFormat="1">
      <c r="A68" s="816"/>
      <c r="B68" s="816"/>
      <c r="C68" s="821"/>
      <c r="D68" s="818"/>
      <c r="E68" s="819"/>
      <c r="F68" s="820"/>
      <c r="I68" s="820"/>
      <c r="M68" s="820"/>
      <c r="P68" s="820"/>
    </row>
  </sheetData>
  <mergeCells count="23">
    <mergeCell ref="R13:R14"/>
    <mergeCell ref="M12:O12"/>
    <mergeCell ref="M13:M14"/>
    <mergeCell ref="N13:N14"/>
    <mergeCell ref="O13:O14"/>
    <mergeCell ref="P13:P14"/>
    <mergeCell ref="Q13:Q14"/>
    <mergeCell ref="A2:R2"/>
    <mergeCell ref="A3:R3"/>
    <mergeCell ref="A11:A14"/>
    <mergeCell ref="B11:C14"/>
    <mergeCell ref="D11:D14"/>
    <mergeCell ref="E11:E14"/>
    <mergeCell ref="F11:H11"/>
    <mergeCell ref="I11:K11"/>
    <mergeCell ref="M11:R11"/>
    <mergeCell ref="F12:F14"/>
    <mergeCell ref="G12:G14"/>
    <mergeCell ref="H12:H14"/>
    <mergeCell ref="I12:I14"/>
    <mergeCell ref="J12:J14"/>
    <mergeCell ref="K12:K14"/>
    <mergeCell ref="P12:R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"/>
  <sheetViews>
    <sheetView view="pageBreakPreview" topLeftCell="A7" zoomScale="110" zoomScaleNormal="100" zoomScaleSheetLayoutView="110" workbookViewId="0">
      <selection activeCell="E14" sqref="E14"/>
    </sheetView>
  </sheetViews>
  <sheetFormatPr defaultRowHeight="15.75"/>
  <cols>
    <col min="1" max="1" width="4.875" style="36" customWidth="1"/>
    <col min="2" max="2" width="48" customWidth="1"/>
    <col min="3" max="3" width="10.5" customWidth="1"/>
    <col min="4" max="4" width="7.375" customWidth="1"/>
    <col min="5" max="5" width="17.125" customWidth="1"/>
    <col min="6" max="6" width="10.75" customWidth="1"/>
    <col min="7" max="7" width="7" customWidth="1"/>
    <col min="8" max="8" width="18.25" customWidth="1"/>
    <col min="9" max="9" width="16.375" customWidth="1"/>
    <col min="10" max="10" width="14" bestFit="1" customWidth="1"/>
    <col min="13" max="13" width="9.875" customWidth="1"/>
  </cols>
  <sheetData>
    <row r="1" spans="1:10" ht="23.25">
      <c r="A1" s="866" t="s">
        <v>248</v>
      </c>
      <c r="B1" s="866"/>
      <c r="C1" s="866"/>
      <c r="D1" s="866"/>
      <c r="E1" s="866"/>
      <c r="F1" s="866"/>
      <c r="G1" s="866"/>
      <c r="H1" s="866"/>
      <c r="I1" s="866"/>
    </row>
    <row r="2" spans="1:10">
      <c r="A2" s="867" t="s">
        <v>252</v>
      </c>
      <c r="B2" s="867"/>
      <c r="C2" s="867"/>
      <c r="D2" s="867"/>
      <c r="E2" s="867"/>
      <c r="F2" s="867"/>
      <c r="G2" s="867"/>
      <c r="H2" s="867"/>
      <c r="I2" s="867"/>
    </row>
    <row r="3" spans="1:10">
      <c r="A3" s="868" t="s">
        <v>249</v>
      </c>
      <c r="B3" s="868"/>
      <c r="C3" s="868"/>
      <c r="D3" s="868"/>
      <c r="E3" s="868"/>
      <c r="F3" s="868"/>
      <c r="G3" s="868"/>
      <c r="H3" s="868"/>
      <c r="I3" s="868"/>
    </row>
    <row r="4" spans="1:10" ht="47.25">
      <c r="A4" s="560" t="s">
        <v>4</v>
      </c>
      <c r="B4" s="560" t="s">
        <v>1</v>
      </c>
      <c r="C4" s="561" t="s">
        <v>350</v>
      </c>
      <c r="D4" s="561" t="s">
        <v>373</v>
      </c>
      <c r="E4" s="561" t="s">
        <v>348</v>
      </c>
      <c r="F4" s="559" t="s">
        <v>351</v>
      </c>
      <c r="G4" s="559" t="s">
        <v>373</v>
      </c>
      <c r="H4" s="559" t="s">
        <v>349</v>
      </c>
      <c r="I4" s="562" t="s">
        <v>6</v>
      </c>
    </row>
    <row r="5" spans="1:10">
      <c r="A5" s="312" t="s">
        <v>229</v>
      </c>
      <c r="B5" s="550" t="s">
        <v>33</v>
      </c>
      <c r="C5" s="391">
        <f>'[39]REKAP ADD.01'!$F$17</f>
        <v>1</v>
      </c>
      <c r="D5" s="391">
        <v>0.46830025236189488</v>
      </c>
      <c r="E5" s="393">
        <v>13800000</v>
      </c>
      <c r="F5" s="391">
        <v>1</v>
      </c>
      <c r="G5" s="391">
        <f>'BOQ MC 0'!K17</f>
        <v>0.46830025236189488</v>
      </c>
      <c r="H5" s="393">
        <f>Budget!G18</f>
        <v>13800000</v>
      </c>
      <c r="I5" s="550"/>
      <c r="J5" t="s">
        <v>296</v>
      </c>
    </row>
    <row r="6" spans="1:10">
      <c r="A6" s="314" t="s">
        <v>230</v>
      </c>
      <c r="B6" s="315" t="s">
        <v>145</v>
      </c>
      <c r="C6" s="563">
        <f>'[39]REKAP ADD.01'!$F$18</f>
        <v>1</v>
      </c>
      <c r="D6" s="563">
        <v>2.9751714612244271E-2</v>
      </c>
      <c r="E6" s="316">
        <v>2450000</v>
      </c>
      <c r="F6" s="564">
        <v>1</v>
      </c>
      <c r="G6" s="564">
        <f>'BOQ MC 0'!K18</f>
        <v>2.9751714612244271E-2</v>
      </c>
      <c r="H6" s="558">
        <f>Budget!G26</f>
        <v>2575000</v>
      </c>
      <c r="I6" s="823" t="s">
        <v>461</v>
      </c>
      <c r="J6" t="s">
        <v>296</v>
      </c>
    </row>
    <row r="7" spans="1:10">
      <c r="A7" s="312" t="s">
        <v>231</v>
      </c>
      <c r="B7" s="551" t="s">
        <v>156</v>
      </c>
      <c r="C7" s="391">
        <f>'[39]REKAP ADD.01'!$F$28</f>
        <v>18000</v>
      </c>
      <c r="D7" s="391">
        <v>0.21700900638170975</v>
      </c>
      <c r="E7" s="393">
        <v>62135000</v>
      </c>
      <c r="F7" s="391">
        <f>'[39]REKAP ADD.01'!$I$28</f>
        <v>25220</v>
      </c>
      <c r="G7" s="391">
        <f>'[39]REKAP ADD.01'!$K$28</f>
        <v>0.30405373005259551</v>
      </c>
      <c r="H7" s="393">
        <f>Budget!G41</f>
        <v>36045000</v>
      </c>
      <c r="I7" s="824" t="s">
        <v>462</v>
      </c>
      <c r="J7" t="s">
        <v>296</v>
      </c>
    </row>
    <row r="8" spans="1:10">
      <c r="A8" s="314" t="s">
        <v>232</v>
      </c>
      <c r="B8" s="555" t="s">
        <v>150</v>
      </c>
      <c r="C8" s="563">
        <f>'[39]REKAP ADD.01'!$F$20</f>
        <v>650</v>
      </c>
      <c r="D8" s="563">
        <f>'[39]REKAP ADD.01'!$H$20</f>
        <v>0.33102320067632801</v>
      </c>
      <c r="E8" s="316">
        <v>11357500</v>
      </c>
      <c r="F8" s="564">
        <f>'[39]REKAP ADD.01'!$I$20</f>
        <v>2178.9</v>
      </c>
      <c r="G8" s="564">
        <f>'BOQ MC 0'!K20</f>
        <v>1.1096406953133096</v>
      </c>
      <c r="H8" s="558">
        <f>Budget!G59</f>
        <v>21105000</v>
      </c>
      <c r="I8" s="823" t="s">
        <v>463</v>
      </c>
    </row>
    <row r="9" spans="1:10">
      <c r="A9" s="312" t="s">
        <v>233</v>
      </c>
      <c r="B9" s="551" t="s">
        <v>153</v>
      </c>
      <c r="C9" s="391"/>
      <c r="D9" s="391"/>
      <c r="E9" s="393">
        <v>0</v>
      </c>
      <c r="F9" s="391"/>
      <c r="G9" s="391"/>
      <c r="H9" s="393">
        <f>Budget!G67</f>
        <v>0</v>
      </c>
      <c r="I9" s="824" t="s">
        <v>464</v>
      </c>
    </row>
    <row r="10" spans="1:10">
      <c r="A10" s="314" t="s">
        <v>234</v>
      </c>
      <c r="B10" s="315" t="s">
        <v>154</v>
      </c>
      <c r="C10" s="563"/>
      <c r="D10" s="563"/>
      <c r="E10" s="316">
        <v>0</v>
      </c>
      <c r="F10" s="564"/>
      <c r="G10" s="564"/>
      <c r="H10" s="558">
        <f>Budget!G72</f>
        <v>0</v>
      </c>
      <c r="I10" s="823" t="s">
        <v>465</v>
      </c>
      <c r="J10" t="s">
        <v>296</v>
      </c>
    </row>
    <row r="11" spans="1:10">
      <c r="A11" s="312" t="s">
        <v>235</v>
      </c>
      <c r="B11" s="551" t="s">
        <v>152</v>
      </c>
      <c r="C11" s="391">
        <f>'[39]REKAP ADD.01'!$F$24</f>
        <v>12500.1</v>
      </c>
      <c r="D11" s="391">
        <f>'[39]REKAP ADD.01'!$H$24</f>
        <v>5.3619227285984881</v>
      </c>
      <c r="E11" s="393">
        <v>95603000</v>
      </c>
      <c r="F11" s="391">
        <f>'[39]REKAP ADD.01'!$I$24</f>
        <v>8813.67</v>
      </c>
      <c r="G11" s="391">
        <f>'BOQ MC 0'!K24</f>
        <v>3.7806271546120938</v>
      </c>
      <c r="H11" s="393">
        <f>Budget!G87</f>
        <v>70850000</v>
      </c>
      <c r="I11" s="551"/>
      <c r="J11" t="s">
        <v>296</v>
      </c>
    </row>
    <row r="12" spans="1:10">
      <c r="A12" s="314" t="s">
        <v>236</v>
      </c>
      <c r="B12" s="315" t="s">
        <v>155</v>
      </c>
      <c r="C12" s="563">
        <f>'[39]REKAP ADD.01'!$F$25</f>
        <v>25</v>
      </c>
      <c r="D12" s="563">
        <f>'[39]REKAP ADD.01'!$H$25</f>
        <v>6.9664621157933912E-2</v>
      </c>
      <c r="E12" s="316">
        <v>14893000</v>
      </c>
      <c r="F12" s="564">
        <f>'[39]REKAP ADD.01'!$I$25</f>
        <v>1</v>
      </c>
      <c r="G12" s="564">
        <v>2.7865848463173564E-3</v>
      </c>
      <c r="H12" s="558">
        <v>0</v>
      </c>
      <c r="I12" s="315"/>
    </row>
    <row r="13" spans="1:10">
      <c r="A13" s="312" t="s">
        <v>237</v>
      </c>
      <c r="B13" s="551" t="s">
        <v>40</v>
      </c>
      <c r="C13" s="391">
        <f>'[39]REKAP ADD.01'!$F$26</f>
        <v>6500</v>
      </c>
      <c r="D13" s="391">
        <f>'[39]REKAP ADD.01'!$H$26</f>
        <v>2.4871601607481848</v>
      </c>
      <c r="E13" s="393">
        <v>56196000</v>
      </c>
      <c r="F13" s="391">
        <f>'[39]REKAP ADD.01'!$I$26</f>
        <v>4106.25</v>
      </c>
      <c r="G13" s="391">
        <f>'BOQ MC 0'!K26</f>
        <v>1.5712156015495742</v>
      </c>
      <c r="H13" s="393">
        <f>Budget!G105</f>
        <v>52489000</v>
      </c>
      <c r="I13" s="551"/>
      <c r="J13" t="s">
        <v>296</v>
      </c>
    </row>
    <row r="14" spans="1:10">
      <c r="A14" s="314" t="s">
        <v>238</v>
      </c>
      <c r="B14" s="315" t="s">
        <v>78</v>
      </c>
      <c r="C14" s="563">
        <f>'[39]REKAP ADD.01'!$F$27</f>
        <v>7020</v>
      </c>
      <c r="D14" s="563">
        <f>'[39]REKAP ADD.01'!$H$27</f>
        <v>11.524704010925104</v>
      </c>
      <c r="E14" s="316">
        <v>859050000</v>
      </c>
      <c r="F14" s="564">
        <f>'[39]REKAP ADD.01'!$I$27</f>
        <v>7056</v>
      </c>
      <c r="G14" s="564">
        <f>'BOQ MC 0'!K27</f>
        <v>11.583805057134978</v>
      </c>
      <c r="H14" s="558">
        <f>Budget!G127</f>
        <v>991468400</v>
      </c>
      <c r="I14" s="315"/>
      <c r="J14" t="s">
        <v>296</v>
      </c>
    </row>
    <row r="15" spans="1:10">
      <c r="A15" s="312" t="s">
        <v>239</v>
      </c>
      <c r="B15" s="551" t="s">
        <v>91</v>
      </c>
      <c r="C15" s="391">
        <f>'[39]REKAP ADD.01'!$F$32</f>
        <v>3680</v>
      </c>
      <c r="D15" s="391">
        <f>'[39]REKAP ADD.01'!$H$32</f>
        <v>17.256602904276992</v>
      </c>
      <c r="E15" s="393">
        <v>271476000</v>
      </c>
      <c r="F15" s="391">
        <f>'[39]REKAP ADD.01'!$I$32</f>
        <v>4559</v>
      </c>
      <c r="G15" s="391">
        <f>'BOQ MC 0'!K32</f>
        <v>21.378492565380114</v>
      </c>
      <c r="H15" s="393">
        <f>Budget!G149</f>
        <v>259260000</v>
      </c>
      <c r="I15" s="551"/>
      <c r="J15" t="s">
        <v>296</v>
      </c>
    </row>
    <row r="16" spans="1:10">
      <c r="A16" s="314" t="s">
        <v>240</v>
      </c>
      <c r="B16" s="315" t="s">
        <v>106</v>
      </c>
      <c r="C16" s="563">
        <f>'[39]REKAP ADD.01'!$F$35</f>
        <v>2070</v>
      </c>
      <c r="D16" s="563">
        <f>'[39]REKAP ADD.01'!$H$35</f>
        <v>25.965748591358956</v>
      </c>
      <c r="E16" s="316">
        <v>100765000</v>
      </c>
      <c r="F16" s="564">
        <f>'[39]REKAP ADD.01'!$I$35</f>
        <v>2485.06</v>
      </c>
      <c r="G16" s="564">
        <f>'BOQ MC 0'!K35+'BOQ MC 0'!K36</f>
        <v>31.33258172799767</v>
      </c>
      <c r="H16" s="558">
        <f>Budget!G166</f>
        <v>88790000</v>
      </c>
      <c r="I16" s="315"/>
      <c r="J16" t="s">
        <v>296</v>
      </c>
    </row>
    <row r="17" spans="1:12">
      <c r="A17" s="312" t="s">
        <v>241</v>
      </c>
      <c r="B17" s="551" t="s">
        <v>109</v>
      </c>
      <c r="C17" s="391">
        <f>'[39]REKAP ADD.01'!$F$34</f>
        <v>9000</v>
      </c>
      <c r="D17" s="391">
        <f>'[39]REKAP ADD.01'!$H$34</f>
        <v>1.208452912741542</v>
      </c>
      <c r="E17" s="393">
        <v>8437000</v>
      </c>
      <c r="F17" s="391">
        <f>'[39]REKAP ADD.01'!$I$34</f>
        <v>24007.500000000004</v>
      </c>
      <c r="G17" s="391">
        <f>'BOQ MC 0'!K34</f>
        <v>3.2235481447380634</v>
      </c>
      <c r="H17" s="393">
        <f>Budget!G180</f>
        <v>9971000</v>
      </c>
      <c r="I17" s="551"/>
      <c r="J17" t="s">
        <v>296</v>
      </c>
    </row>
    <row r="18" spans="1:12">
      <c r="A18" s="314" t="s">
        <v>242</v>
      </c>
      <c r="B18" s="315" t="s">
        <v>157</v>
      </c>
      <c r="C18" s="563">
        <f>'[39]REKAP ADD.01'!$F$30</f>
        <v>405</v>
      </c>
      <c r="D18" s="563">
        <f>'[39]REKAP ADD.01'!$H$30</f>
        <v>1.5382583823502829</v>
      </c>
      <c r="E18" s="316">
        <v>30706200</v>
      </c>
      <c r="F18" s="564">
        <f>'[39]REKAP ADD.01'!$I$30</f>
        <v>2460</v>
      </c>
      <c r="G18" s="564">
        <f>'BOQ MC 0'!K30</f>
        <v>9.3434953594609773</v>
      </c>
      <c r="H18" s="558">
        <f>Budget!G202</f>
        <v>138272000</v>
      </c>
      <c r="I18" s="315"/>
      <c r="J18" t="s">
        <v>296</v>
      </c>
    </row>
    <row r="19" spans="1:12">
      <c r="A19" s="312" t="s">
        <v>243</v>
      </c>
      <c r="B19" s="551" t="s">
        <v>142</v>
      </c>
      <c r="C19" s="391"/>
      <c r="D19" s="391"/>
      <c r="E19" s="393">
        <v>0</v>
      </c>
      <c r="F19" s="391"/>
      <c r="G19" s="391"/>
      <c r="H19" s="393">
        <f>Budget!G210</f>
        <v>0</v>
      </c>
      <c r="I19" s="551"/>
    </row>
    <row r="20" spans="1:12">
      <c r="A20" s="314" t="s">
        <v>244</v>
      </c>
      <c r="B20" s="315" t="s">
        <v>137</v>
      </c>
      <c r="C20" s="563"/>
      <c r="D20" s="563"/>
      <c r="E20" s="316">
        <v>0</v>
      </c>
      <c r="F20" s="564"/>
      <c r="G20" s="564"/>
      <c r="H20" s="558">
        <f>Budget!G215</f>
        <v>0</v>
      </c>
      <c r="I20" s="315"/>
    </row>
    <row r="21" spans="1:12">
      <c r="A21" s="312" t="s">
        <v>245</v>
      </c>
      <c r="B21" s="551" t="s">
        <v>117</v>
      </c>
      <c r="C21" s="391"/>
      <c r="D21" s="391"/>
      <c r="E21" s="393">
        <v>0</v>
      </c>
      <c r="F21" s="391"/>
      <c r="G21" s="391"/>
      <c r="H21" s="393">
        <f>Budget!G220</f>
        <v>0</v>
      </c>
      <c r="I21" s="551"/>
    </row>
    <row r="22" spans="1:12">
      <c r="A22" s="314" t="s">
        <v>246</v>
      </c>
      <c r="B22" s="315" t="s">
        <v>138</v>
      </c>
      <c r="C22" s="563"/>
      <c r="D22" s="563"/>
      <c r="E22" s="316">
        <v>0</v>
      </c>
      <c r="F22" s="564"/>
      <c r="G22" s="564"/>
      <c r="H22" s="558">
        <f>Budget!G225</f>
        <v>0</v>
      </c>
      <c r="I22" s="315"/>
      <c r="J22" s="170"/>
    </row>
    <row r="23" spans="1:12">
      <c r="A23" s="312" t="s">
        <v>347</v>
      </c>
      <c r="B23" s="313" t="s">
        <v>247</v>
      </c>
      <c r="C23" s="122"/>
      <c r="D23" s="122"/>
      <c r="E23" s="124">
        <v>24500000</v>
      </c>
      <c r="F23" s="567"/>
      <c r="G23" s="567"/>
      <c r="H23" s="124">
        <f>Budget!G231</f>
        <v>26600000</v>
      </c>
      <c r="I23" s="552"/>
    </row>
    <row r="24" spans="1:12">
      <c r="A24" s="314"/>
      <c r="B24" s="315"/>
      <c r="C24" s="553"/>
      <c r="D24" s="553"/>
      <c r="E24" s="316"/>
      <c r="F24" s="556"/>
      <c r="G24" s="556"/>
      <c r="H24" s="316"/>
      <c r="I24" s="315"/>
      <c r="L24" s="549"/>
    </row>
    <row r="25" spans="1:12" s="52" customFormat="1">
      <c r="A25" s="317"/>
      <c r="B25" s="318" t="s">
        <v>129</v>
      </c>
      <c r="C25" s="554"/>
      <c r="D25" s="598">
        <f>SUM(D5:D18)</f>
        <v>66.458598486189658</v>
      </c>
      <c r="E25" s="319">
        <f>SUM(E5:E23)</f>
        <v>1551368700</v>
      </c>
      <c r="F25" s="557"/>
      <c r="G25" s="598">
        <f>SUM(G5:G18)</f>
        <v>84.128298588059835</v>
      </c>
      <c r="H25" s="319">
        <f>SUM(H5:H23)</f>
        <v>1711225400</v>
      </c>
      <c r="I25" s="566">
        <f>H25-E25</f>
        <v>159856700</v>
      </c>
    </row>
  </sheetData>
  <mergeCells count="3">
    <mergeCell ref="A1:I1"/>
    <mergeCell ref="A2:I2"/>
    <mergeCell ref="A3:I3"/>
  </mergeCells>
  <pageMargins left="0.6" right="0.56999999999999995" top="0.42" bottom="0.39" header="0.31496062992125984" footer="0.31496062992125984"/>
  <pageSetup paperSize="9" scale="87" orientation="landscape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53"/>
  <sheetViews>
    <sheetView view="pageBreakPreview" topLeftCell="A103" zoomScale="70" zoomScaleNormal="80" zoomScaleSheetLayoutView="70" workbookViewId="0">
      <selection activeCell="G127" sqref="G127"/>
    </sheetView>
  </sheetViews>
  <sheetFormatPr defaultColWidth="11" defaultRowHeight="15.75"/>
  <cols>
    <col min="1" max="1" width="4.125" style="36" bestFit="1" customWidth="1"/>
    <col min="2" max="2" width="62.5" customWidth="1"/>
    <col min="3" max="3" width="11.625" style="46" customWidth="1"/>
    <col min="4" max="4" width="10.875" style="33" bestFit="1" customWidth="1"/>
    <col min="5" max="5" width="6.5" style="36" customWidth="1"/>
    <col min="6" max="6" width="11.5" style="6" customWidth="1"/>
    <col min="7" max="7" width="18.875" style="79" customWidth="1"/>
    <col min="8" max="8" width="20.125" style="79" customWidth="1"/>
    <col min="9" max="9" width="10.875" style="36"/>
    <col min="10" max="10" width="10.125" style="36" customWidth="1"/>
    <col min="11" max="11" width="9.125" style="41" customWidth="1"/>
    <col min="12" max="12" width="28.875" style="141" customWidth="1"/>
    <col min="13" max="13" width="15" bestFit="1" customWidth="1"/>
    <col min="14" max="14" width="13.5" bestFit="1" customWidth="1"/>
    <col min="15" max="15" width="12" bestFit="1" customWidth="1"/>
    <col min="18" max="18" width="13" bestFit="1" customWidth="1"/>
  </cols>
  <sheetData>
    <row r="1" spans="1:16" ht="23.25">
      <c r="A1" s="872" t="s">
        <v>126</v>
      </c>
      <c r="B1" s="872"/>
      <c r="C1" s="872"/>
      <c r="D1" s="872"/>
      <c r="E1" s="872"/>
      <c r="F1" s="872"/>
      <c r="G1" s="872"/>
      <c r="H1" s="872"/>
      <c r="I1" s="872"/>
      <c r="J1" s="872"/>
      <c r="K1" s="872"/>
      <c r="L1" s="872"/>
    </row>
    <row r="2" spans="1:16" ht="21">
      <c r="A2" s="15"/>
      <c r="B2" s="876" t="s">
        <v>252</v>
      </c>
      <c r="C2" s="876"/>
      <c r="D2" s="876"/>
      <c r="E2" s="876"/>
      <c r="F2" s="876"/>
      <c r="G2" s="876"/>
      <c r="H2" s="876"/>
      <c r="I2" s="876"/>
      <c r="J2" s="876"/>
      <c r="K2" s="876"/>
      <c r="L2" s="876"/>
      <c r="M2" s="876"/>
    </row>
    <row r="3" spans="1:16">
      <c r="A3" s="178"/>
    </row>
    <row r="4" spans="1:16" ht="47.25">
      <c r="A4" s="24" t="s">
        <v>4</v>
      </c>
      <c r="B4" s="24" t="s">
        <v>1</v>
      </c>
      <c r="C4" s="59" t="s">
        <v>0</v>
      </c>
      <c r="D4" s="29" t="s">
        <v>8</v>
      </c>
      <c r="E4" s="24" t="s">
        <v>9</v>
      </c>
      <c r="F4" s="27" t="s">
        <v>48</v>
      </c>
      <c r="G4" s="72" t="s">
        <v>34</v>
      </c>
      <c r="H4" s="72" t="s">
        <v>35</v>
      </c>
      <c r="I4" s="25" t="s">
        <v>37</v>
      </c>
      <c r="J4" s="25" t="s">
        <v>36</v>
      </c>
      <c r="K4" s="37" t="s">
        <v>50</v>
      </c>
      <c r="L4" s="130" t="s">
        <v>6</v>
      </c>
    </row>
    <row r="5" spans="1:16" ht="15.95" customHeight="1">
      <c r="A5" s="145" t="s">
        <v>61</v>
      </c>
      <c r="B5" s="145" t="s">
        <v>62</v>
      </c>
      <c r="C5" s="146" t="s">
        <v>63</v>
      </c>
      <c r="D5" s="147" t="s">
        <v>64</v>
      </c>
      <c r="E5" s="145" t="s">
        <v>65</v>
      </c>
      <c r="F5" s="148" t="s">
        <v>66</v>
      </c>
      <c r="G5" s="149" t="s">
        <v>67</v>
      </c>
      <c r="H5" s="149" t="s">
        <v>68</v>
      </c>
      <c r="I5" s="150" t="s">
        <v>69</v>
      </c>
      <c r="J5" s="150" t="s">
        <v>70</v>
      </c>
      <c r="K5" s="151" t="s">
        <v>71</v>
      </c>
      <c r="L5" s="152" t="s">
        <v>72</v>
      </c>
    </row>
    <row r="6" spans="1:16" ht="9" customHeight="1">
      <c r="A6" s="22"/>
      <c r="B6" s="22"/>
      <c r="C6" s="43"/>
      <c r="D6" s="30"/>
      <c r="E6" s="22"/>
      <c r="F6" s="28"/>
      <c r="G6" s="73"/>
      <c r="H6" s="73"/>
      <c r="I6" s="23"/>
      <c r="J6" s="23"/>
      <c r="K6" s="38"/>
      <c r="L6" s="131"/>
    </row>
    <row r="7" spans="1:16" s="26" customFormat="1">
      <c r="A7" s="83" t="s">
        <v>25</v>
      </c>
      <c r="B7" s="84" t="s">
        <v>33</v>
      </c>
      <c r="C7" s="85"/>
      <c r="D7" s="86"/>
      <c r="E7" s="87"/>
      <c r="F7" s="88"/>
      <c r="G7" s="89"/>
      <c r="H7" s="89"/>
      <c r="I7" s="90">
        <f>MIN(I8:I14)</f>
        <v>42108</v>
      </c>
      <c r="J7" s="91">
        <f>MAX(J8:J14)</f>
        <v>42126</v>
      </c>
      <c r="K7" s="92">
        <f>J7-I7</f>
        <v>18</v>
      </c>
      <c r="L7" s="132" t="s">
        <v>80</v>
      </c>
    </row>
    <row r="8" spans="1:16" s="190" customFormat="1">
      <c r="A8" s="181">
        <v>1</v>
      </c>
      <c r="B8" s="182" t="s">
        <v>32</v>
      </c>
      <c r="C8" s="183" t="s">
        <v>26</v>
      </c>
      <c r="D8" s="184"/>
      <c r="E8" s="181"/>
      <c r="F8" s="185"/>
      <c r="G8" s="186"/>
      <c r="H8" s="186">
        <v>15000000</v>
      </c>
      <c r="I8" s="187">
        <v>42108</v>
      </c>
      <c r="J8" s="187">
        <f t="shared" ref="J8" si="0">I8</f>
        <v>42108</v>
      </c>
      <c r="K8" s="188">
        <f t="shared" ref="K8" si="1">J8-I8</f>
        <v>0</v>
      </c>
      <c r="L8" s="189"/>
    </row>
    <row r="9" spans="1:16" s="128" customFormat="1">
      <c r="A9" s="389">
        <v>2</v>
      </c>
      <c r="B9" s="390" t="s">
        <v>146</v>
      </c>
      <c r="C9" s="201" t="s">
        <v>26</v>
      </c>
      <c r="D9" s="391">
        <v>4.5</v>
      </c>
      <c r="E9" s="389" t="s">
        <v>177</v>
      </c>
      <c r="F9" s="392">
        <v>8250000</v>
      </c>
      <c r="G9" s="124"/>
      <c r="H9" s="393">
        <f>8250000*4.5</f>
        <v>37125000</v>
      </c>
      <c r="I9" s="394">
        <v>42110</v>
      </c>
      <c r="J9" s="394">
        <f>I9+6</f>
        <v>42116</v>
      </c>
      <c r="K9" s="395">
        <f>J9-I9+1</f>
        <v>7</v>
      </c>
      <c r="L9" s="396" t="s">
        <v>27</v>
      </c>
    </row>
    <row r="10" spans="1:16" s="190" customFormat="1">
      <c r="A10" s="181">
        <v>3</v>
      </c>
      <c r="B10" s="405" t="s">
        <v>176</v>
      </c>
      <c r="C10" s="183" t="s">
        <v>3</v>
      </c>
      <c r="D10" s="184">
        <f>K10</f>
        <v>6</v>
      </c>
      <c r="E10" s="181" t="s">
        <v>51</v>
      </c>
      <c r="F10" s="185">
        <v>300000</v>
      </c>
      <c r="G10" s="186">
        <f t="shared" ref="G10" si="2">F10*D10</f>
        <v>1800000</v>
      </c>
      <c r="H10" s="186"/>
      <c r="I10" s="187">
        <v>42111</v>
      </c>
      <c r="J10" s="187">
        <f>I10+5</f>
        <v>42116</v>
      </c>
      <c r="K10" s="188">
        <f>J10-I10+1</f>
        <v>6</v>
      </c>
      <c r="L10" s="189"/>
    </row>
    <row r="11" spans="1:16" s="128" customFormat="1">
      <c r="A11" s="119">
        <f>A10+1</f>
        <v>4</v>
      </c>
      <c r="B11" s="176" t="s">
        <v>219</v>
      </c>
      <c r="C11" s="121" t="s">
        <v>26</v>
      </c>
      <c r="D11" s="122">
        <v>1</v>
      </c>
      <c r="E11" s="252" t="s">
        <v>12</v>
      </c>
      <c r="F11" s="123">
        <v>2000000</v>
      </c>
      <c r="G11" s="124">
        <f>D11*F11</f>
        <v>2000000</v>
      </c>
      <c r="H11" s="124"/>
      <c r="I11" s="125"/>
      <c r="J11" s="125"/>
      <c r="K11" s="126"/>
      <c r="L11" s="253"/>
      <c r="N11" s="254"/>
      <c r="O11" s="254"/>
      <c r="P11" s="254"/>
    </row>
    <row r="12" spans="1:16" s="413" customFormat="1">
      <c r="A12" s="406">
        <f t="shared" ref="A12:A17" si="3">A11+1</f>
        <v>5</v>
      </c>
      <c r="B12" s="407" t="s">
        <v>369</v>
      </c>
      <c r="C12" s="183" t="s">
        <v>5</v>
      </c>
      <c r="D12" s="408"/>
      <c r="E12" s="183"/>
      <c r="F12" s="409"/>
      <c r="G12" s="410">
        <v>500000</v>
      </c>
      <c r="H12" s="410"/>
      <c r="I12" s="411">
        <v>42124</v>
      </c>
      <c r="J12" s="411">
        <f t="shared" ref="J12:J16" si="4">I12</f>
        <v>42124</v>
      </c>
      <c r="K12" s="412">
        <v>1</v>
      </c>
      <c r="L12" s="407"/>
      <c r="M12" s="413">
        <f>27*1*9000</f>
        <v>243000</v>
      </c>
      <c r="N12" s="413" t="s">
        <v>181</v>
      </c>
    </row>
    <row r="13" spans="1:16" s="200" customFormat="1">
      <c r="A13" s="197">
        <f t="shared" si="3"/>
        <v>6</v>
      </c>
      <c r="B13" s="290" t="s">
        <v>370</v>
      </c>
      <c r="C13" s="121" t="s">
        <v>5</v>
      </c>
      <c r="D13" s="198"/>
      <c r="E13" s="121"/>
      <c r="F13" s="292"/>
      <c r="G13" s="293">
        <f>G12</f>
        <v>500000</v>
      </c>
      <c r="H13" s="293"/>
      <c r="I13" s="294">
        <v>42126</v>
      </c>
      <c r="J13" s="294">
        <f t="shared" si="4"/>
        <v>42126</v>
      </c>
      <c r="K13" s="295">
        <v>1</v>
      </c>
      <c r="L13" s="290"/>
      <c r="M13" s="200">
        <v>150000</v>
      </c>
      <c r="N13" s="200" t="s">
        <v>182</v>
      </c>
    </row>
    <row r="14" spans="1:16" s="413" customFormat="1">
      <c r="A14" s="406">
        <f t="shared" si="3"/>
        <v>7</v>
      </c>
      <c r="B14" s="414" t="s">
        <v>371</v>
      </c>
      <c r="C14" s="415" t="s">
        <v>5</v>
      </c>
      <c r="D14" s="416"/>
      <c r="E14" s="415"/>
      <c r="F14" s="417"/>
      <c r="G14" s="418">
        <f>G13</f>
        <v>500000</v>
      </c>
      <c r="H14" s="418"/>
      <c r="I14" s="419">
        <f>I13</f>
        <v>42126</v>
      </c>
      <c r="J14" s="419">
        <f t="shared" si="4"/>
        <v>42126</v>
      </c>
      <c r="K14" s="420">
        <v>1</v>
      </c>
      <c r="L14" s="414"/>
      <c r="M14" s="413">
        <v>100000</v>
      </c>
      <c r="N14" s="413" t="s">
        <v>183</v>
      </c>
    </row>
    <row r="15" spans="1:16" s="200" customFormat="1">
      <c r="A15" s="197">
        <f t="shared" si="3"/>
        <v>8</v>
      </c>
      <c r="B15" s="290" t="s">
        <v>216</v>
      </c>
      <c r="C15" s="121" t="s">
        <v>5</v>
      </c>
      <c r="D15" s="198"/>
      <c r="E15" s="121"/>
      <c r="F15" s="292"/>
      <c r="G15" s="293">
        <f>500000*3</f>
        <v>1500000</v>
      </c>
      <c r="H15" s="293"/>
      <c r="I15" s="294">
        <v>42234</v>
      </c>
      <c r="J15" s="294">
        <f t="shared" si="4"/>
        <v>42234</v>
      </c>
      <c r="K15" s="295">
        <v>1</v>
      </c>
      <c r="L15" s="290"/>
    </row>
    <row r="16" spans="1:16" s="413" customFormat="1">
      <c r="A16" s="406">
        <f t="shared" si="3"/>
        <v>9</v>
      </c>
      <c r="B16" s="407" t="s">
        <v>353</v>
      </c>
      <c r="C16" s="183" t="s">
        <v>5</v>
      </c>
      <c r="D16" s="408"/>
      <c r="E16" s="183"/>
      <c r="F16" s="409"/>
      <c r="G16" s="410">
        <v>2000000</v>
      </c>
      <c r="H16" s="410"/>
      <c r="I16" s="411">
        <v>42143</v>
      </c>
      <c r="J16" s="411">
        <f t="shared" si="4"/>
        <v>42143</v>
      </c>
      <c r="K16" s="412">
        <v>1</v>
      </c>
      <c r="L16" s="407" t="s">
        <v>38</v>
      </c>
    </row>
    <row r="17" spans="1:15" s="128" customFormat="1">
      <c r="A17" s="197">
        <f t="shared" si="3"/>
        <v>10</v>
      </c>
      <c r="B17" s="397" t="s">
        <v>124</v>
      </c>
      <c r="C17" s="398" t="s">
        <v>5</v>
      </c>
      <c r="D17" s="403"/>
      <c r="E17" s="404"/>
      <c r="F17" s="399"/>
      <c r="G17" s="400">
        <f>SUM(G12:G16)</f>
        <v>5000000</v>
      </c>
      <c r="H17" s="400"/>
      <c r="I17" s="401">
        <v>42274</v>
      </c>
      <c r="J17" s="401">
        <f>I17+3</f>
        <v>42277</v>
      </c>
      <c r="K17" s="402">
        <f t="shared" ref="K17" si="5">J17-I17</f>
        <v>3</v>
      </c>
      <c r="L17" s="397" t="s">
        <v>125</v>
      </c>
    </row>
    <row r="18" spans="1:15">
      <c r="A18" s="60"/>
      <c r="B18" s="61"/>
      <c r="C18" s="62"/>
      <c r="D18" s="63"/>
      <c r="E18" s="64"/>
      <c r="F18" s="67" t="s">
        <v>10</v>
      </c>
      <c r="G18" s="75">
        <f>SUM(G9:G17)</f>
        <v>13800000</v>
      </c>
      <c r="H18" s="75">
        <f>SUM(H8:H14)</f>
        <v>52125000</v>
      </c>
      <c r="I18" s="65"/>
      <c r="J18" s="65"/>
      <c r="K18" s="66"/>
      <c r="L18" s="136"/>
    </row>
    <row r="19" spans="1:15">
      <c r="A19" s="60"/>
      <c r="B19" s="61"/>
      <c r="C19" s="62"/>
      <c r="D19" s="63"/>
      <c r="E19" s="64"/>
      <c r="F19" s="68" t="s">
        <v>73</v>
      </c>
      <c r="G19" s="76"/>
      <c r="H19" s="75">
        <f>H18+G18</f>
        <v>65925000</v>
      </c>
      <c r="I19" s="65"/>
      <c r="J19" s="65"/>
      <c r="K19" s="66"/>
      <c r="L19" s="136"/>
    </row>
    <row r="20" spans="1:15">
      <c r="A20" s="55"/>
      <c r="B20" s="52"/>
      <c r="C20" s="53"/>
      <c r="D20" s="54"/>
      <c r="E20" s="55"/>
      <c r="F20" s="56"/>
      <c r="G20" s="80"/>
      <c r="H20" s="80"/>
      <c r="I20" s="57"/>
      <c r="J20" s="57"/>
      <c r="K20" s="58"/>
      <c r="L20" s="137"/>
    </row>
    <row r="21" spans="1:15" s="26" customFormat="1">
      <c r="A21" s="83" t="s">
        <v>39</v>
      </c>
      <c r="B21" s="84" t="s">
        <v>145</v>
      </c>
      <c r="C21" s="85"/>
      <c r="D21" s="86"/>
      <c r="E21" s="87"/>
      <c r="F21" s="88"/>
      <c r="G21" s="89"/>
      <c r="H21" s="89"/>
      <c r="I21" s="90">
        <f>MIN(I22:I24)</f>
        <v>42110</v>
      </c>
      <c r="J21" s="91">
        <f>MAX(J22:J24)</f>
        <v>42114</v>
      </c>
      <c r="K21" s="92">
        <f>J21-I21</f>
        <v>4</v>
      </c>
      <c r="L21" s="132" t="s">
        <v>80</v>
      </c>
    </row>
    <row r="22" spans="1:15">
      <c r="A22" s="47">
        <v>1</v>
      </c>
      <c r="B22" s="167" t="s">
        <v>167</v>
      </c>
      <c r="C22" s="48" t="s">
        <v>26</v>
      </c>
      <c r="D22" s="49">
        <v>2</v>
      </c>
      <c r="E22" s="47" t="s">
        <v>149</v>
      </c>
      <c r="F22" s="21">
        <v>100000</v>
      </c>
      <c r="G22" s="77">
        <f t="shared" ref="G22:G24" si="6">F22*D22</f>
        <v>200000</v>
      </c>
      <c r="H22" s="77"/>
      <c r="I22" s="50">
        <v>42110</v>
      </c>
      <c r="J22" s="50">
        <f>I22+2</f>
        <v>42112</v>
      </c>
      <c r="K22" s="51">
        <f t="shared" ref="K22:K23" si="7">J22-I22</f>
        <v>2</v>
      </c>
      <c r="L22" s="133"/>
    </row>
    <row r="23" spans="1:15">
      <c r="A23" s="95">
        <v>2</v>
      </c>
      <c r="B23" s="171" t="s">
        <v>147</v>
      </c>
      <c r="C23" s="97" t="str">
        <f>C22</f>
        <v>Administrasi</v>
      </c>
      <c r="D23" s="98">
        <v>10</v>
      </c>
      <c r="E23" s="95" t="s">
        <v>149</v>
      </c>
      <c r="F23" s="99">
        <v>50000</v>
      </c>
      <c r="G23" s="100">
        <f t="shared" si="6"/>
        <v>500000</v>
      </c>
      <c r="H23" s="100"/>
      <c r="I23" s="155">
        <v>42110</v>
      </c>
      <c r="J23" s="101">
        <f>I23+2</f>
        <v>42112</v>
      </c>
      <c r="K23" s="102">
        <f t="shared" si="7"/>
        <v>2</v>
      </c>
      <c r="L23" s="134"/>
    </row>
    <row r="24" spans="1:15">
      <c r="A24" s="34">
        <v>3</v>
      </c>
      <c r="B24" s="168" t="s">
        <v>175</v>
      </c>
      <c r="C24" s="44" t="str">
        <f>C23</f>
        <v>Administrasi</v>
      </c>
      <c r="D24" s="31">
        <v>5</v>
      </c>
      <c r="E24" s="34" t="s">
        <v>148</v>
      </c>
      <c r="F24" s="17">
        <v>375000</v>
      </c>
      <c r="G24" s="74">
        <f t="shared" si="6"/>
        <v>1875000</v>
      </c>
      <c r="H24" s="74"/>
      <c r="I24" s="50">
        <v>42114</v>
      </c>
      <c r="J24" s="50">
        <f>I24</f>
        <v>42114</v>
      </c>
      <c r="K24" s="39">
        <v>1</v>
      </c>
      <c r="L24" s="135"/>
    </row>
    <row r="25" spans="1:15">
      <c r="A25" s="95"/>
      <c r="B25" s="96"/>
      <c r="C25" s="97"/>
      <c r="D25" s="98"/>
      <c r="E25" s="95"/>
      <c r="F25" s="99"/>
      <c r="G25" s="100"/>
      <c r="H25" s="100"/>
      <c r="I25" s="95"/>
      <c r="J25" s="95"/>
      <c r="K25" s="102"/>
      <c r="L25" s="134"/>
    </row>
    <row r="26" spans="1:15">
      <c r="A26" s="60"/>
      <c r="B26" s="61"/>
      <c r="C26" s="62"/>
      <c r="D26" s="63"/>
      <c r="E26" s="64"/>
      <c r="F26" s="69" t="s">
        <v>10</v>
      </c>
      <c r="G26" s="75">
        <f>SUM(G22:G25)</f>
        <v>2575000</v>
      </c>
      <c r="H26" s="75">
        <f>SUM(H22:H25)</f>
        <v>0</v>
      </c>
      <c r="I26" s="65"/>
      <c r="J26" s="65"/>
      <c r="K26" s="66"/>
      <c r="L26" s="136"/>
    </row>
    <row r="27" spans="1:15">
      <c r="A27" s="60"/>
      <c r="B27" s="61"/>
      <c r="C27" s="62"/>
      <c r="D27" s="63"/>
      <c r="E27" s="64"/>
      <c r="F27" s="70" t="s">
        <v>73</v>
      </c>
      <c r="G27" s="76"/>
      <c r="H27" s="75">
        <f>H26+G26</f>
        <v>2575000</v>
      </c>
      <c r="I27" s="65"/>
      <c r="J27" s="65"/>
      <c r="K27" s="66"/>
      <c r="L27" s="136"/>
    </row>
    <row r="29" spans="1:15" s="26" customFormat="1">
      <c r="A29" s="83" t="s">
        <v>77</v>
      </c>
      <c r="B29" s="84" t="s">
        <v>156</v>
      </c>
      <c r="C29" s="85"/>
      <c r="D29" s="86"/>
      <c r="E29" s="87"/>
      <c r="F29" s="88"/>
      <c r="G29" s="89"/>
      <c r="H29" s="89"/>
      <c r="I29" s="90">
        <f>MIN(I30:I40)</f>
        <v>42125</v>
      </c>
      <c r="J29" s="91">
        <f>MAX(J30:J40)</f>
        <v>42133</v>
      </c>
      <c r="K29" s="92">
        <f>J29-I29+1</f>
        <v>9</v>
      </c>
      <c r="L29" s="132" t="s">
        <v>80</v>
      </c>
    </row>
    <row r="30" spans="1:15" s="307" customFormat="1">
      <c r="A30" s="284">
        <v>1</v>
      </c>
      <c r="B30" s="285" t="s">
        <v>308</v>
      </c>
      <c r="C30" s="284" t="s">
        <v>2</v>
      </c>
      <c r="D30" s="286">
        <f>200*K30</f>
        <v>800</v>
      </c>
      <c r="E30" s="284" t="s">
        <v>49</v>
      </c>
      <c r="F30" s="287">
        <v>9000</v>
      </c>
      <c r="G30" s="288">
        <f>F30*D30</f>
        <v>7200000</v>
      </c>
      <c r="H30" s="288"/>
      <c r="I30" s="305">
        <v>42125</v>
      </c>
      <c r="J30" s="305">
        <f>I30+4</f>
        <v>42129</v>
      </c>
      <c r="K30" s="289">
        <f>J30-I30</f>
        <v>4</v>
      </c>
      <c r="L30" s="285"/>
      <c r="M30" s="297">
        <v>3000</v>
      </c>
      <c r="N30" s="297">
        <f>6300*1.2</f>
        <v>7560</v>
      </c>
      <c r="O30" s="308" t="e">
        <f>#REF!/4</f>
        <v>#REF!</v>
      </c>
    </row>
    <row r="31" spans="1:15" s="297" customFormat="1">
      <c r="A31" s="197">
        <v>2</v>
      </c>
      <c r="B31" s="290" t="s">
        <v>310</v>
      </c>
      <c r="C31" s="197" t="s">
        <v>2</v>
      </c>
      <c r="D31" s="291">
        <f>150*K29</f>
        <v>1350</v>
      </c>
      <c r="E31" s="197" t="s">
        <v>49</v>
      </c>
      <c r="F31" s="292">
        <f>F30</f>
        <v>9000</v>
      </c>
      <c r="G31" s="293">
        <f t="shared" ref="G31" si="8">F31*D31</f>
        <v>12150000</v>
      </c>
      <c r="H31" s="293"/>
      <c r="I31" s="302">
        <f t="shared" ref="I31:I32" si="9">I30</f>
        <v>42125</v>
      </c>
      <c r="J31" s="302">
        <f t="shared" ref="J31:J32" si="10">I31+4</f>
        <v>42129</v>
      </c>
      <c r="K31" s="295">
        <f t="shared" ref="K31:K32" si="11">J31-I31</f>
        <v>4</v>
      </c>
      <c r="L31" s="290"/>
      <c r="M31" s="306">
        <f>H43/M30</f>
        <v>8.4066666666666663</v>
      </c>
      <c r="N31" s="307" t="s">
        <v>51</v>
      </c>
    </row>
    <row r="32" spans="1:15" s="307" customFormat="1">
      <c r="A32" s="284">
        <f>A31+1</f>
        <v>3</v>
      </c>
      <c r="B32" s="285" t="s">
        <v>311</v>
      </c>
      <c r="C32" s="284" t="s">
        <v>2</v>
      </c>
      <c r="D32" s="286">
        <f>80*K32</f>
        <v>320</v>
      </c>
      <c r="E32" s="284" t="s">
        <v>49</v>
      </c>
      <c r="F32" s="287">
        <f>F31</f>
        <v>9000</v>
      </c>
      <c r="G32" s="288">
        <f>F32*D32</f>
        <v>2880000</v>
      </c>
      <c r="H32" s="288"/>
      <c r="I32" s="305">
        <f t="shared" si="9"/>
        <v>42125</v>
      </c>
      <c r="J32" s="305">
        <f t="shared" si="10"/>
        <v>42129</v>
      </c>
      <c r="K32" s="289">
        <f t="shared" si="11"/>
        <v>4</v>
      </c>
      <c r="L32" s="285" t="s">
        <v>309</v>
      </c>
      <c r="M32" s="304">
        <f>M31/6</f>
        <v>1.401111111111111</v>
      </c>
      <c r="N32" s="297"/>
      <c r="O32" s="308" t="e">
        <f>O30/4</f>
        <v>#REF!</v>
      </c>
    </row>
    <row r="33" spans="1:15" s="297" customFormat="1">
      <c r="A33" s="197">
        <f t="shared" ref="A33:A39" si="12">A32+1</f>
        <v>4</v>
      </c>
      <c r="B33" s="290" t="s">
        <v>170</v>
      </c>
      <c r="C33" s="197" t="s">
        <v>2</v>
      </c>
      <c r="D33" s="291">
        <f>130*K33</f>
        <v>650</v>
      </c>
      <c r="E33" s="197" t="s">
        <v>49</v>
      </c>
      <c r="F33" s="292">
        <f>F32</f>
        <v>9000</v>
      </c>
      <c r="G33" s="293">
        <f>F33*D33</f>
        <v>5850000</v>
      </c>
      <c r="H33" s="293"/>
      <c r="I33" s="302">
        <f>J32</f>
        <v>42129</v>
      </c>
      <c r="J33" s="302">
        <f>I33+4</f>
        <v>42133</v>
      </c>
      <c r="K33" s="295">
        <f>J33-I33+1</f>
        <v>5</v>
      </c>
      <c r="L33" s="290"/>
      <c r="M33" s="306">
        <f>D31/M31</f>
        <v>160.58683584456782</v>
      </c>
      <c r="N33" s="307"/>
      <c r="O33" s="516">
        <f>O31/4</f>
        <v>0</v>
      </c>
    </row>
    <row r="34" spans="1:15" s="307" customFormat="1">
      <c r="A34" s="284">
        <f t="shared" si="12"/>
        <v>5</v>
      </c>
      <c r="B34" s="285" t="s">
        <v>375</v>
      </c>
      <c r="C34" s="284" t="s">
        <v>57</v>
      </c>
      <c r="D34" s="286">
        <f>1*K29</f>
        <v>9</v>
      </c>
      <c r="E34" s="284" t="s">
        <v>59</v>
      </c>
      <c r="F34" s="287">
        <v>35000</v>
      </c>
      <c r="G34" s="288">
        <f>F34*D34</f>
        <v>315000</v>
      </c>
      <c r="H34" s="288"/>
      <c r="I34" s="305"/>
      <c r="J34" s="305"/>
      <c r="K34" s="289"/>
      <c r="L34" s="285"/>
      <c r="M34" s="296">
        <f>D32/M32</f>
        <v>228.39016653449644</v>
      </c>
      <c r="N34" s="297"/>
    </row>
    <row r="35" spans="1:15" s="307" customFormat="1">
      <c r="A35" s="284">
        <f t="shared" si="12"/>
        <v>6</v>
      </c>
      <c r="B35" s="285" t="s">
        <v>79</v>
      </c>
      <c r="C35" s="284" t="s">
        <v>3</v>
      </c>
      <c r="D35" s="286">
        <f>K29</f>
        <v>9</v>
      </c>
      <c r="E35" s="284" t="s">
        <v>51</v>
      </c>
      <c r="F35" s="287">
        <v>200000</v>
      </c>
      <c r="G35" s="288">
        <f t="shared" ref="G35:G36" si="13">F35*D35</f>
        <v>1800000</v>
      </c>
      <c r="H35" s="288"/>
      <c r="I35" s="305"/>
      <c r="J35" s="305"/>
      <c r="K35" s="289"/>
      <c r="L35" s="285"/>
      <c r="M35" s="297"/>
      <c r="N35" s="297"/>
    </row>
    <row r="36" spans="1:15" s="297" customFormat="1">
      <c r="A36" s="197">
        <f t="shared" si="12"/>
        <v>7</v>
      </c>
      <c r="B36" s="290" t="s">
        <v>76</v>
      </c>
      <c r="C36" s="197" t="s">
        <v>3</v>
      </c>
      <c r="D36" s="291">
        <f>D35</f>
        <v>9</v>
      </c>
      <c r="E36" s="197" t="s">
        <v>51</v>
      </c>
      <c r="F36" s="292">
        <v>300000</v>
      </c>
      <c r="G36" s="293">
        <f t="shared" si="13"/>
        <v>2700000</v>
      </c>
      <c r="H36" s="293"/>
      <c r="I36" s="302"/>
      <c r="J36" s="302"/>
      <c r="K36" s="295"/>
      <c r="L36" s="290"/>
      <c r="M36" s="307"/>
      <c r="N36" s="307"/>
    </row>
    <row r="37" spans="1:15" s="307" customFormat="1">
      <c r="A37" s="284">
        <f t="shared" si="12"/>
        <v>8</v>
      </c>
      <c r="B37" s="285" t="s">
        <v>186</v>
      </c>
      <c r="C37" s="284" t="s">
        <v>57</v>
      </c>
      <c r="D37" s="286">
        <f>K29</f>
        <v>9</v>
      </c>
      <c r="E37" s="284" t="s">
        <v>185</v>
      </c>
      <c r="F37" s="287">
        <f>75000*2</f>
        <v>150000</v>
      </c>
      <c r="G37" s="288">
        <f>D37*F37</f>
        <v>1350000</v>
      </c>
      <c r="H37" s="288"/>
      <c r="I37" s="526"/>
      <c r="J37" s="526"/>
      <c r="K37" s="289"/>
      <c r="L37" s="285"/>
      <c r="M37" s="297"/>
      <c r="N37" s="297"/>
    </row>
    <row r="38" spans="1:15" s="297" customFormat="1">
      <c r="A38" s="197">
        <f t="shared" si="12"/>
        <v>9</v>
      </c>
      <c r="B38" s="290" t="s">
        <v>313</v>
      </c>
      <c r="C38" s="197" t="s">
        <v>57</v>
      </c>
      <c r="D38" s="291">
        <f>K33</f>
        <v>5</v>
      </c>
      <c r="E38" s="197" t="s">
        <v>185</v>
      </c>
      <c r="F38" s="292">
        <v>200000</v>
      </c>
      <c r="G38" s="293">
        <f>D38*F38</f>
        <v>1000000</v>
      </c>
      <c r="H38" s="293"/>
      <c r="I38" s="294"/>
      <c r="J38" s="294"/>
      <c r="K38" s="295"/>
      <c r="L38" s="290"/>
      <c r="M38" s="306">
        <f>500*6</f>
        <v>3000</v>
      </c>
      <c r="N38" s="307"/>
    </row>
    <row r="39" spans="1:15" s="307" customFormat="1">
      <c r="A39" s="284">
        <f t="shared" si="12"/>
        <v>10</v>
      </c>
      <c r="B39" s="285" t="s">
        <v>314</v>
      </c>
      <c r="C39" s="284" t="s">
        <v>57</v>
      </c>
      <c r="D39" s="286">
        <f>K30</f>
        <v>4</v>
      </c>
      <c r="E39" s="284" t="s">
        <v>185</v>
      </c>
      <c r="F39" s="287">
        <v>200000</v>
      </c>
      <c r="G39" s="288">
        <f>D39*F39</f>
        <v>800000</v>
      </c>
      <c r="H39" s="288"/>
      <c r="I39" s="526"/>
      <c r="J39" s="526"/>
      <c r="K39" s="289"/>
      <c r="L39" s="285"/>
      <c r="M39" s="306"/>
    </row>
    <row r="40" spans="1:15" s="128" customFormat="1">
      <c r="A40" s="517"/>
      <c r="B40" s="518"/>
      <c r="C40" s="519"/>
      <c r="D40" s="520"/>
      <c r="E40" s="517"/>
      <c r="F40" s="521"/>
      <c r="G40" s="522"/>
      <c r="H40" s="522"/>
      <c r="I40" s="517"/>
      <c r="J40" s="517"/>
      <c r="K40" s="523"/>
      <c r="L40" s="524"/>
      <c r="M40" s="525"/>
    </row>
    <row r="41" spans="1:15">
      <c r="A41" s="60"/>
      <c r="B41" s="61"/>
      <c r="C41" s="62"/>
      <c r="D41" s="63"/>
      <c r="E41" s="64"/>
      <c r="F41" s="69" t="s">
        <v>10</v>
      </c>
      <c r="G41" s="75">
        <f>SUM(G30:G40)</f>
        <v>36045000</v>
      </c>
      <c r="H41" s="75">
        <f>SUM(H30:H40)</f>
        <v>0</v>
      </c>
      <c r="I41" s="65"/>
      <c r="J41" s="65"/>
      <c r="K41" s="66"/>
      <c r="L41" s="136"/>
      <c r="M41" s="6"/>
    </row>
    <row r="42" spans="1:15">
      <c r="A42" s="60"/>
      <c r="B42" s="61"/>
      <c r="C42" s="62"/>
      <c r="D42" s="63"/>
      <c r="E42" s="64"/>
      <c r="F42" s="70" t="s">
        <v>73</v>
      </c>
      <c r="G42" s="76"/>
      <c r="H42" s="75">
        <f>H41+G41</f>
        <v>36045000</v>
      </c>
      <c r="I42" s="65"/>
      <c r="J42" s="65"/>
      <c r="K42" s="66"/>
      <c r="L42" s="136"/>
    </row>
    <row r="43" spans="1:15">
      <c r="A43" s="60"/>
      <c r="B43" s="61"/>
      <c r="C43" s="62"/>
      <c r="D43" s="63"/>
      <c r="E43" s="64"/>
      <c r="F43" s="70" t="s">
        <v>297</v>
      </c>
      <c r="G43" s="78"/>
      <c r="H43" s="71">
        <v>25220</v>
      </c>
      <c r="I43" s="172" t="s">
        <v>20</v>
      </c>
      <c r="J43" s="65"/>
      <c r="K43" s="66"/>
      <c r="L43" s="136"/>
    </row>
    <row r="44" spans="1:15">
      <c r="A44" s="60"/>
      <c r="B44" s="61"/>
      <c r="C44" s="62"/>
      <c r="D44" s="63"/>
      <c r="E44" s="64"/>
      <c r="F44" s="70" t="s">
        <v>74</v>
      </c>
      <c r="G44" s="76"/>
      <c r="H44" s="75">
        <f>H42/H43</f>
        <v>1429.2228390166536</v>
      </c>
      <c r="I44" s="65" t="s">
        <v>75</v>
      </c>
      <c r="J44" s="65"/>
      <c r="K44" s="66"/>
      <c r="L44" s="136"/>
    </row>
    <row r="46" spans="1:15" s="26" customFormat="1">
      <c r="A46" s="83" t="s">
        <v>82</v>
      </c>
      <c r="B46" s="84" t="s">
        <v>150</v>
      </c>
      <c r="C46" s="85"/>
      <c r="D46" s="86"/>
      <c r="E46" s="87"/>
      <c r="F46" s="88"/>
      <c r="G46" s="89"/>
      <c r="H46" s="89"/>
      <c r="I46" s="90">
        <f>MIN(I47:I52)</f>
        <v>42129</v>
      </c>
      <c r="J46" s="91">
        <f>MAX(J47:J52)</f>
        <v>42137</v>
      </c>
      <c r="K46" s="421">
        <f>J46-I46+1</f>
        <v>9</v>
      </c>
      <c r="L46" s="132" t="s">
        <v>80</v>
      </c>
      <c r="M46" s="26">
        <v>270</v>
      </c>
    </row>
    <row r="47" spans="1:15">
      <c r="A47" s="47">
        <v>1</v>
      </c>
      <c r="B47" s="167" t="s">
        <v>151</v>
      </c>
      <c r="C47" s="48" t="s">
        <v>5</v>
      </c>
      <c r="D47" s="49"/>
      <c r="E47" s="47"/>
      <c r="F47" s="21"/>
      <c r="G47" s="77"/>
      <c r="H47" s="77"/>
      <c r="I47" s="50">
        <f>I33</f>
        <v>42129</v>
      </c>
      <c r="J47" s="50">
        <f>I47+8</f>
        <v>42137</v>
      </c>
      <c r="K47" s="303">
        <f>J47-I47+1</f>
        <v>9</v>
      </c>
      <c r="L47" s="169" t="s">
        <v>315</v>
      </c>
      <c r="M47" s="175">
        <f>H61/M46</f>
        <v>8.07</v>
      </c>
    </row>
    <row r="48" spans="1:15">
      <c r="A48" s="95">
        <v>2</v>
      </c>
      <c r="B48" s="171" t="s">
        <v>60</v>
      </c>
      <c r="C48" s="97" t="s">
        <v>2</v>
      </c>
      <c r="D48" s="98">
        <f>K46*150</f>
        <v>1350</v>
      </c>
      <c r="E48" s="95" t="s">
        <v>49</v>
      </c>
      <c r="F48" s="99">
        <f>F33</f>
        <v>9000</v>
      </c>
      <c r="G48" s="100">
        <f t="shared" ref="G48:G52" si="14">F48*D48</f>
        <v>12150000</v>
      </c>
      <c r="H48" s="100"/>
      <c r="I48" s="101"/>
      <c r="J48" s="101"/>
      <c r="K48" s="102"/>
      <c r="L48" s="134"/>
      <c r="M48">
        <f>M47/60</f>
        <v>0.13450000000000001</v>
      </c>
    </row>
    <row r="49" spans="1:17">
      <c r="A49" s="34">
        <v>3</v>
      </c>
      <c r="B49" s="168" t="s">
        <v>79</v>
      </c>
      <c r="C49" s="44" t="s">
        <v>3</v>
      </c>
      <c r="D49" s="31">
        <f>K46</f>
        <v>9</v>
      </c>
      <c r="E49" s="34" t="s">
        <v>51</v>
      </c>
      <c r="F49" s="17">
        <v>200000</v>
      </c>
      <c r="G49" s="74">
        <f t="shared" si="14"/>
        <v>1800000</v>
      </c>
      <c r="H49" s="74"/>
      <c r="I49" s="42"/>
      <c r="J49" s="42"/>
      <c r="K49" s="39"/>
      <c r="L49" s="135"/>
      <c r="M49">
        <f>105/7</f>
        <v>15</v>
      </c>
    </row>
    <row r="50" spans="1:17">
      <c r="A50" s="95">
        <v>4</v>
      </c>
      <c r="B50" s="96" t="s">
        <v>52</v>
      </c>
      <c r="C50" s="97" t="s">
        <v>53</v>
      </c>
      <c r="D50" s="98">
        <f>D49*7</f>
        <v>63</v>
      </c>
      <c r="E50" s="95" t="s">
        <v>54</v>
      </c>
      <c r="F50" s="99">
        <v>200000</v>
      </c>
      <c r="G50" s="100"/>
      <c r="H50" s="100">
        <f>F50*D50</f>
        <v>12600000</v>
      </c>
      <c r="I50" s="101"/>
      <c r="J50" s="101"/>
      <c r="K50" s="102"/>
      <c r="L50" s="134"/>
    </row>
    <row r="51" spans="1:17">
      <c r="A51" s="34">
        <v>5</v>
      </c>
      <c r="B51" s="16" t="s">
        <v>56</v>
      </c>
      <c r="C51" s="44" t="s">
        <v>57</v>
      </c>
      <c r="D51" s="31">
        <f>K46</f>
        <v>9</v>
      </c>
      <c r="E51" s="34" t="s">
        <v>59</v>
      </c>
      <c r="F51" s="17">
        <v>120000</v>
      </c>
      <c r="G51" s="74"/>
      <c r="H51" s="74">
        <f>F51*D51</f>
        <v>1080000</v>
      </c>
      <c r="I51" s="42"/>
      <c r="J51" s="42"/>
      <c r="K51" s="39"/>
      <c r="L51" s="135"/>
      <c r="N51">
        <v>33333.333333333336</v>
      </c>
      <c r="O51">
        <v>40000</v>
      </c>
      <c r="P51">
        <v>48000</v>
      </c>
      <c r="Q51">
        <v>121333.33333333334</v>
      </c>
    </row>
    <row r="52" spans="1:17">
      <c r="A52" s="95">
        <v>6</v>
      </c>
      <c r="B52" s="96" t="s">
        <v>76</v>
      </c>
      <c r="C52" s="97" t="s">
        <v>3</v>
      </c>
      <c r="D52" s="98">
        <f>K46</f>
        <v>9</v>
      </c>
      <c r="E52" s="95" t="s">
        <v>51</v>
      </c>
      <c r="F52" s="99">
        <v>300000</v>
      </c>
      <c r="G52" s="100">
        <f t="shared" si="14"/>
        <v>2700000</v>
      </c>
      <c r="H52" s="100"/>
      <c r="I52" s="101"/>
      <c r="J52" s="101"/>
      <c r="K52" s="102"/>
      <c r="L52" s="134"/>
    </row>
    <row r="53" spans="1:17">
      <c r="A53" s="34">
        <v>11</v>
      </c>
      <c r="B53" s="168" t="s">
        <v>174</v>
      </c>
      <c r="C53" s="44" t="s">
        <v>2</v>
      </c>
      <c r="D53" s="31">
        <f>35*K46</f>
        <v>315</v>
      </c>
      <c r="E53" s="34" t="s">
        <v>49</v>
      </c>
      <c r="F53" s="17">
        <f>F48</f>
        <v>9000</v>
      </c>
      <c r="G53" s="74">
        <f>F53*D53</f>
        <v>2835000</v>
      </c>
      <c r="H53" s="74"/>
      <c r="I53" s="42"/>
      <c r="J53" s="42"/>
      <c r="K53" s="39"/>
      <c r="L53" s="135"/>
      <c r="M53" s="195"/>
    </row>
    <row r="54" spans="1:17">
      <c r="A54" s="104">
        <v>12</v>
      </c>
      <c r="B54" s="177" t="s">
        <v>173</v>
      </c>
      <c r="C54" s="105" t="s">
        <v>57</v>
      </c>
      <c r="D54" s="106">
        <f>1*K46</f>
        <v>9</v>
      </c>
      <c r="E54" s="104" t="s">
        <v>59</v>
      </c>
      <c r="F54" s="107">
        <v>115000</v>
      </c>
      <c r="G54" s="108"/>
      <c r="H54" s="100">
        <f t="shared" ref="H54" si="15">F54*D54</f>
        <v>1035000</v>
      </c>
      <c r="I54" s="109"/>
      <c r="J54" s="109"/>
      <c r="K54" s="110"/>
      <c r="L54" s="134"/>
      <c r="M54">
        <f>5*0.5*2</f>
        <v>5</v>
      </c>
    </row>
    <row r="55" spans="1:17">
      <c r="A55" s="34">
        <v>13</v>
      </c>
      <c r="B55" s="168" t="s">
        <v>169</v>
      </c>
      <c r="C55" s="44" t="s">
        <v>53</v>
      </c>
      <c r="D55" s="31">
        <f>1*K46</f>
        <v>9</v>
      </c>
      <c r="E55" s="34" t="s">
        <v>88</v>
      </c>
      <c r="F55" s="17">
        <v>1000000</v>
      </c>
      <c r="G55" s="74"/>
      <c r="H55" s="74">
        <f>F55*D55</f>
        <v>9000000</v>
      </c>
      <c r="I55" s="34"/>
      <c r="J55" s="34"/>
      <c r="K55" s="39"/>
      <c r="L55" s="135"/>
    </row>
    <row r="56" spans="1:17">
      <c r="A56" s="95">
        <v>14</v>
      </c>
      <c r="B56" s="171" t="s">
        <v>187</v>
      </c>
      <c r="C56" s="97" t="s">
        <v>57</v>
      </c>
      <c r="D56" s="98">
        <f>3*K46</f>
        <v>27</v>
      </c>
      <c r="E56" s="95" t="s">
        <v>59</v>
      </c>
      <c r="F56" s="99">
        <v>35000</v>
      </c>
      <c r="G56" s="100">
        <f t="shared" ref="G56" si="16">F56*D56</f>
        <v>945000</v>
      </c>
      <c r="H56" s="100"/>
      <c r="I56" s="101"/>
      <c r="J56" s="101"/>
      <c r="K56" s="102"/>
      <c r="L56" s="134"/>
    </row>
    <row r="57" spans="1:17" s="200" customFormat="1">
      <c r="A57" s="203">
        <f>A56+1</f>
        <v>15</v>
      </c>
      <c r="B57" s="298" t="s">
        <v>184</v>
      </c>
      <c r="C57" s="97" t="s">
        <v>57</v>
      </c>
      <c r="D57" s="299">
        <f>K46</f>
        <v>9</v>
      </c>
      <c r="E57" s="203" t="s">
        <v>185</v>
      </c>
      <c r="F57" s="300">
        <v>75000</v>
      </c>
      <c r="G57" s="301">
        <f>D57*F57</f>
        <v>675000</v>
      </c>
      <c r="H57" s="204"/>
      <c r="I57" s="205"/>
      <c r="J57" s="205"/>
      <c r="K57" s="206"/>
      <c r="L57" s="202"/>
      <c r="M57" s="199"/>
    </row>
    <row r="58" spans="1:17">
      <c r="A58" s="95"/>
      <c r="B58" s="96"/>
      <c r="C58" s="97"/>
      <c r="D58" s="98"/>
      <c r="E58" s="95"/>
      <c r="F58" s="99"/>
      <c r="G58" s="100"/>
      <c r="H58" s="100"/>
      <c r="I58" s="95"/>
      <c r="J58" s="95"/>
      <c r="K58" s="102"/>
      <c r="L58" s="134"/>
    </row>
    <row r="59" spans="1:17">
      <c r="A59" s="60"/>
      <c r="B59" s="61"/>
      <c r="C59" s="62"/>
      <c r="D59" s="63"/>
      <c r="E59" s="64"/>
      <c r="F59" s="69" t="s">
        <v>10</v>
      </c>
      <c r="G59" s="75">
        <f>SUM(G47:G58)</f>
        <v>21105000</v>
      </c>
      <c r="H59" s="75">
        <f>SUM(H47:H58)</f>
        <v>23715000</v>
      </c>
      <c r="I59" s="65"/>
      <c r="J59" s="65"/>
      <c r="K59" s="66"/>
      <c r="L59" s="136"/>
      <c r="M59" s="195">
        <f>G59/K46</f>
        <v>2345000</v>
      </c>
    </row>
    <row r="60" spans="1:17">
      <c r="A60" s="60"/>
      <c r="B60" s="61"/>
      <c r="C60" s="62"/>
      <c r="D60" s="63"/>
      <c r="E60" s="64"/>
      <c r="F60" s="70" t="s">
        <v>73</v>
      </c>
      <c r="G60" s="76"/>
      <c r="H60" s="75">
        <f>H59+G59</f>
        <v>44820000</v>
      </c>
      <c r="I60" s="65"/>
      <c r="J60" s="65"/>
      <c r="K60" s="66"/>
      <c r="L60" s="136"/>
    </row>
    <row r="61" spans="1:17">
      <c r="A61" s="60"/>
      <c r="B61" s="61"/>
      <c r="C61" s="62"/>
      <c r="D61" s="63"/>
      <c r="E61" s="64"/>
      <c r="F61" s="70" t="s">
        <v>297</v>
      </c>
      <c r="G61" s="78"/>
      <c r="H61" s="71">
        <v>2178.9</v>
      </c>
      <c r="I61" s="65" t="s">
        <v>15</v>
      </c>
      <c r="J61" s="65"/>
      <c r="K61" s="66"/>
      <c r="L61" s="136"/>
    </row>
    <row r="62" spans="1:17">
      <c r="A62" s="60"/>
      <c r="B62" s="61"/>
      <c r="C62" s="62"/>
      <c r="D62" s="63"/>
      <c r="E62" s="64"/>
      <c r="F62" s="70" t="s">
        <v>74</v>
      </c>
      <c r="G62" s="76"/>
      <c r="H62" s="75">
        <f>H60/H61</f>
        <v>20570.012391573728</v>
      </c>
      <c r="I62" s="65" t="s">
        <v>75</v>
      </c>
      <c r="J62" s="65"/>
      <c r="K62" s="66"/>
      <c r="L62" s="136"/>
    </row>
    <row r="64" spans="1:17" s="26" customFormat="1">
      <c r="A64" s="83" t="s">
        <v>85</v>
      </c>
      <c r="B64" s="84" t="s">
        <v>153</v>
      </c>
      <c r="C64" s="85"/>
      <c r="D64" s="86"/>
      <c r="E64" s="87"/>
      <c r="F64" s="88"/>
      <c r="G64" s="89"/>
      <c r="H64" s="89"/>
      <c r="I64" s="90">
        <f>MIN(I65:I65)</f>
        <v>42142</v>
      </c>
      <c r="J64" s="91">
        <f>MAX(J65:J65)</f>
        <v>42190</v>
      </c>
      <c r="K64" s="92">
        <f>K65</f>
        <v>48</v>
      </c>
      <c r="L64" s="132" t="s">
        <v>94</v>
      </c>
    </row>
    <row r="65" spans="1:17">
      <c r="A65" s="47">
        <v>1</v>
      </c>
      <c r="B65" s="20" t="s">
        <v>118</v>
      </c>
      <c r="C65" s="48" t="s">
        <v>119</v>
      </c>
      <c r="D65" s="49">
        <v>489.78</v>
      </c>
      <c r="E65" s="47" t="s">
        <v>15</v>
      </c>
      <c r="F65" s="103">
        <v>475000</v>
      </c>
      <c r="G65" s="77"/>
      <c r="H65" s="77">
        <f>F65*D65</f>
        <v>232645500</v>
      </c>
      <c r="I65" s="50">
        <f>J47+5</f>
        <v>42142</v>
      </c>
      <c r="J65" s="50">
        <v>42190</v>
      </c>
      <c r="K65" s="51">
        <f t="shared" ref="K65" si="17">J65-I65</f>
        <v>48</v>
      </c>
      <c r="L65" s="133"/>
      <c r="M65" s="170">
        <f>D65/30</f>
        <v>16.326000000000001</v>
      </c>
      <c r="N65">
        <f>31531+9459</f>
        <v>40990</v>
      </c>
      <c r="O65" t="s">
        <v>92</v>
      </c>
    </row>
    <row r="66" spans="1:17">
      <c r="A66" s="111"/>
      <c r="B66" s="112"/>
      <c r="C66" s="113"/>
      <c r="D66" s="114"/>
      <c r="E66" s="111"/>
      <c r="F66" s="115"/>
      <c r="G66" s="116"/>
      <c r="H66" s="116"/>
      <c r="I66" s="117"/>
      <c r="J66" s="117"/>
      <c r="K66" s="118"/>
      <c r="L66" s="139"/>
      <c r="N66">
        <f>800000/30</f>
        <v>26666.666666666668</v>
      </c>
      <c r="O66">
        <v>40000</v>
      </c>
      <c r="P66">
        <v>45000</v>
      </c>
      <c r="Q66">
        <f>SUM(N66:P66)</f>
        <v>111666.66666666667</v>
      </c>
    </row>
    <row r="67" spans="1:17">
      <c r="A67" s="60"/>
      <c r="B67" s="61"/>
      <c r="C67" s="62"/>
      <c r="D67" s="63"/>
      <c r="E67" s="64"/>
      <c r="F67" s="69" t="s">
        <v>10</v>
      </c>
      <c r="G67" s="75">
        <f>SUM(G65:G66)</f>
        <v>0</v>
      </c>
      <c r="H67" s="75">
        <f>SUM(H65:H66)</f>
        <v>232645500</v>
      </c>
      <c r="I67" s="65"/>
      <c r="J67" s="65"/>
      <c r="K67" s="66"/>
      <c r="L67" s="136"/>
    </row>
    <row r="69" spans="1:17" s="26" customFormat="1">
      <c r="A69" s="83" t="s">
        <v>90</v>
      </c>
      <c r="B69" s="84" t="s">
        <v>154</v>
      </c>
      <c r="C69" s="85"/>
      <c r="D69" s="86"/>
      <c r="E69" s="87"/>
      <c r="F69" s="88"/>
      <c r="G69" s="89"/>
      <c r="H69" s="89"/>
      <c r="I69" s="90">
        <f>MIN(I70:I70)</f>
        <v>42149</v>
      </c>
      <c r="J69" s="91">
        <f>MAX(J70:J70)</f>
        <v>42162</v>
      </c>
      <c r="K69" s="92">
        <f>K70</f>
        <v>13</v>
      </c>
      <c r="L69" s="132" t="s">
        <v>94</v>
      </c>
    </row>
    <row r="70" spans="1:17">
      <c r="A70" s="47">
        <v>1</v>
      </c>
      <c r="B70" s="20" t="s">
        <v>118</v>
      </c>
      <c r="C70" s="48" t="s">
        <v>119</v>
      </c>
      <c r="D70" s="49">
        <v>20</v>
      </c>
      <c r="E70" s="47" t="s">
        <v>15</v>
      </c>
      <c r="F70" s="103">
        <v>1000000</v>
      </c>
      <c r="G70" s="77"/>
      <c r="H70" s="77">
        <f>F70*D70</f>
        <v>20000000</v>
      </c>
      <c r="I70" s="50">
        <v>42149</v>
      </c>
      <c r="J70" s="50">
        <v>42162</v>
      </c>
      <c r="K70" s="51">
        <f t="shared" ref="K70" si="18">J70-I70</f>
        <v>13</v>
      </c>
      <c r="L70" s="133"/>
      <c r="M70">
        <v>200</v>
      </c>
      <c r="N70">
        <f>31531+9459</f>
        <v>40990</v>
      </c>
      <c r="O70" t="s">
        <v>92</v>
      </c>
    </row>
    <row r="71" spans="1:17">
      <c r="A71" s="111"/>
      <c r="B71" s="112"/>
      <c r="C71" s="113"/>
      <c r="D71" s="114"/>
      <c r="E71" s="111"/>
      <c r="F71" s="115"/>
      <c r="G71" s="116"/>
      <c r="H71" s="116"/>
      <c r="I71" s="117"/>
      <c r="J71" s="117"/>
      <c r="K71" s="118"/>
      <c r="L71" s="139"/>
      <c r="N71">
        <f>800000/30</f>
        <v>26666.666666666668</v>
      </c>
      <c r="O71">
        <v>40000</v>
      </c>
      <c r="P71">
        <v>45000</v>
      </c>
      <c r="Q71">
        <f>SUM(N71:P71)</f>
        <v>111666.66666666667</v>
      </c>
    </row>
    <row r="72" spans="1:17">
      <c r="A72" s="60"/>
      <c r="B72" s="61"/>
      <c r="C72" s="62"/>
      <c r="D72" s="63"/>
      <c r="E72" s="64"/>
      <c r="F72" s="69" t="s">
        <v>10</v>
      </c>
      <c r="G72" s="75">
        <f>SUM(G70:G71)</f>
        <v>0</v>
      </c>
      <c r="H72" s="75">
        <f>SUM(H70:H71)</f>
        <v>20000000</v>
      </c>
      <c r="I72" s="65"/>
      <c r="J72" s="65"/>
      <c r="K72" s="66"/>
      <c r="L72" s="136"/>
    </row>
    <row r="74" spans="1:17" s="26" customFormat="1">
      <c r="A74" s="83" t="s">
        <v>345</v>
      </c>
      <c r="B74" s="84" t="s">
        <v>152</v>
      </c>
      <c r="C74" s="85"/>
      <c r="D74" s="86"/>
      <c r="E74" s="87"/>
      <c r="F74" s="88"/>
      <c r="G74" s="89"/>
      <c r="H74" s="89"/>
      <c r="I74" s="90">
        <f>MIN(I75:I80)</f>
        <v>42138</v>
      </c>
      <c r="J74" s="91">
        <f>MAX(J75:J77)</f>
        <v>42168</v>
      </c>
      <c r="K74" s="92">
        <f>J74-I74</f>
        <v>30</v>
      </c>
      <c r="L74" s="132" t="s">
        <v>80</v>
      </c>
      <c r="M74" s="174">
        <f>H89</f>
        <v>8815.32</v>
      </c>
    </row>
    <row r="75" spans="1:17">
      <c r="A75" s="47">
        <v>1</v>
      </c>
      <c r="B75" s="167" t="s">
        <v>312</v>
      </c>
      <c r="C75" s="48" t="s">
        <v>5</v>
      </c>
      <c r="D75" s="49"/>
      <c r="E75" s="47"/>
      <c r="F75" s="21"/>
      <c r="G75" s="77">
        <v>500000</v>
      </c>
      <c r="H75" s="77"/>
      <c r="I75" s="50">
        <f>J47+1</f>
        <v>42138</v>
      </c>
      <c r="J75" s="50">
        <f>I75+30</f>
        <v>42168</v>
      </c>
      <c r="K75" s="51">
        <f t="shared" ref="K75" si="19">J75-I75</f>
        <v>30</v>
      </c>
      <c r="L75" s="169" t="s">
        <v>168</v>
      </c>
      <c r="M75" s="175">
        <f>M74/300</f>
        <v>29.384399999999999</v>
      </c>
    </row>
    <row r="76" spans="1:17">
      <c r="A76" s="95">
        <v>2</v>
      </c>
      <c r="B76" s="171" t="s">
        <v>60</v>
      </c>
      <c r="C76" s="97" t="s">
        <v>2</v>
      </c>
      <c r="D76" s="98">
        <f>K74*150</f>
        <v>4500</v>
      </c>
      <c r="E76" s="95" t="s">
        <v>49</v>
      </c>
      <c r="F76" s="99">
        <f>F53</f>
        <v>9000</v>
      </c>
      <c r="G76" s="100">
        <f t="shared" ref="G76:G77" si="20">F76*D76</f>
        <v>40500000</v>
      </c>
      <c r="H76" s="100"/>
      <c r="I76" s="101"/>
      <c r="J76" s="101"/>
      <c r="K76" s="102"/>
      <c r="L76" s="134"/>
      <c r="M76" s="170">
        <f>M75/6</f>
        <v>4.8974000000000002</v>
      </c>
    </row>
    <row r="77" spans="1:17">
      <c r="A77" s="34">
        <v>3</v>
      </c>
      <c r="B77" s="168" t="s">
        <v>79</v>
      </c>
      <c r="C77" s="44" t="s">
        <v>3</v>
      </c>
      <c r="D77" s="31">
        <f>K74</f>
        <v>30</v>
      </c>
      <c r="E77" s="34" t="s">
        <v>51</v>
      </c>
      <c r="F77" s="17">
        <v>200000</v>
      </c>
      <c r="G77" s="74">
        <f t="shared" si="20"/>
        <v>6000000</v>
      </c>
      <c r="H77" s="124"/>
      <c r="I77" s="125"/>
      <c r="J77" s="125"/>
      <c r="K77" s="39"/>
      <c r="L77" s="135"/>
      <c r="M77">
        <f>105/7</f>
        <v>15</v>
      </c>
    </row>
    <row r="78" spans="1:17">
      <c r="A78" s="95">
        <v>4</v>
      </c>
      <c r="B78" s="96" t="s">
        <v>52</v>
      </c>
      <c r="C78" s="97" t="s">
        <v>53</v>
      </c>
      <c r="D78" s="98">
        <f>D77*7</f>
        <v>210</v>
      </c>
      <c r="E78" s="95" t="s">
        <v>54</v>
      </c>
      <c r="F78" s="99">
        <v>200000</v>
      </c>
      <c r="G78" s="100"/>
      <c r="H78" s="100">
        <f>F78*D78</f>
        <v>42000000</v>
      </c>
      <c r="I78" s="101"/>
      <c r="J78" s="101"/>
      <c r="K78" s="102"/>
      <c r="L78" s="134"/>
    </row>
    <row r="79" spans="1:17">
      <c r="A79" s="34">
        <v>5</v>
      </c>
      <c r="B79" s="16" t="s">
        <v>56</v>
      </c>
      <c r="C79" s="44" t="s">
        <v>57</v>
      </c>
      <c r="D79" s="31">
        <f>D77</f>
        <v>30</v>
      </c>
      <c r="E79" s="34" t="s">
        <v>59</v>
      </c>
      <c r="F79" s="17">
        <v>120000</v>
      </c>
      <c r="G79" s="74"/>
      <c r="H79" s="74">
        <f>F79*D79</f>
        <v>3600000</v>
      </c>
      <c r="I79" s="125"/>
      <c r="J79" s="125"/>
      <c r="K79" s="39"/>
      <c r="L79" s="135"/>
      <c r="N79">
        <v>33333.333333333336</v>
      </c>
      <c r="O79">
        <v>40000</v>
      </c>
      <c r="P79">
        <v>48000</v>
      </c>
      <c r="Q79">
        <v>121333.33333333334</v>
      </c>
    </row>
    <row r="80" spans="1:17">
      <c r="A80" s="95">
        <v>6</v>
      </c>
      <c r="B80" s="171" t="s">
        <v>76</v>
      </c>
      <c r="C80" s="97" t="s">
        <v>3</v>
      </c>
      <c r="D80" s="98">
        <f>D79</f>
        <v>30</v>
      </c>
      <c r="E80" s="95" t="s">
        <v>51</v>
      </c>
      <c r="F80" s="99">
        <v>300000</v>
      </c>
      <c r="G80" s="100">
        <f t="shared" ref="G80" si="21">F80*D80</f>
        <v>9000000</v>
      </c>
      <c r="H80" s="100"/>
      <c r="I80" s="101"/>
      <c r="J80" s="101"/>
      <c r="K80" s="102"/>
      <c r="L80" s="134"/>
    </row>
    <row r="81" spans="1:15">
      <c r="A81" s="34">
        <v>11</v>
      </c>
      <c r="B81" s="168" t="s">
        <v>174</v>
      </c>
      <c r="C81" s="44" t="s">
        <v>2</v>
      </c>
      <c r="D81" s="31">
        <f>35*K74</f>
        <v>1050</v>
      </c>
      <c r="E81" s="34" t="s">
        <v>49</v>
      </c>
      <c r="F81" s="17">
        <f>F76</f>
        <v>9000</v>
      </c>
      <c r="G81" s="74">
        <f>F81*D81</f>
        <v>9450000</v>
      </c>
      <c r="H81" s="74"/>
      <c r="I81" s="125"/>
      <c r="J81" s="125"/>
      <c r="K81" s="39"/>
      <c r="L81" s="135"/>
    </row>
    <row r="82" spans="1:15">
      <c r="A82" s="104">
        <v>12</v>
      </c>
      <c r="B82" s="177" t="s">
        <v>173</v>
      </c>
      <c r="C82" s="105" t="s">
        <v>57</v>
      </c>
      <c r="D82" s="106">
        <f>1*K74</f>
        <v>30</v>
      </c>
      <c r="E82" s="104" t="s">
        <v>59</v>
      </c>
      <c r="F82" s="107">
        <v>115000</v>
      </c>
      <c r="G82" s="108"/>
      <c r="H82" s="100">
        <f t="shared" ref="H82" si="22">F82*D82</f>
        <v>3450000</v>
      </c>
      <c r="I82" s="101"/>
      <c r="J82" s="101"/>
      <c r="K82" s="110"/>
      <c r="L82" s="134"/>
      <c r="M82" s="195"/>
    </row>
    <row r="83" spans="1:15">
      <c r="A83" s="34">
        <v>13</v>
      </c>
      <c r="B83" s="168" t="s">
        <v>169</v>
      </c>
      <c r="C83" s="44" t="s">
        <v>53</v>
      </c>
      <c r="D83" s="31">
        <f>1*K74</f>
        <v>30</v>
      </c>
      <c r="E83" s="34" t="s">
        <v>88</v>
      </c>
      <c r="F83" s="17">
        <v>500000</v>
      </c>
      <c r="G83" s="74"/>
      <c r="H83" s="74">
        <f>F83*D83</f>
        <v>15000000</v>
      </c>
      <c r="I83" s="125"/>
      <c r="J83" s="125"/>
      <c r="K83" s="39"/>
      <c r="L83" s="135"/>
      <c r="M83" s="195"/>
    </row>
    <row r="84" spans="1:15" s="208" customFormat="1">
      <c r="A84" s="95">
        <v>14</v>
      </c>
      <c r="B84" s="171" t="s">
        <v>187</v>
      </c>
      <c r="C84" s="97" t="s">
        <v>57</v>
      </c>
      <c r="D84" s="98">
        <f>3*K74</f>
        <v>90</v>
      </c>
      <c r="E84" s="95" t="s">
        <v>59</v>
      </c>
      <c r="F84" s="99">
        <v>35000</v>
      </c>
      <c r="G84" s="100">
        <f t="shared" ref="G84" si="23">F84*D84</f>
        <v>3150000</v>
      </c>
      <c r="H84" s="100"/>
      <c r="I84" s="101"/>
      <c r="J84" s="101"/>
      <c r="K84" s="102"/>
      <c r="L84" s="134"/>
      <c r="M84" s="207"/>
    </row>
    <row r="85" spans="1:15" s="297" customFormat="1">
      <c r="A85" s="203">
        <f>A84+1</f>
        <v>15</v>
      </c>
      <c r="B85" s="298" t="s">
        <v>184</v>
      </c>
      <c r="C85" s="97" t="s">
        <v>57</v>
      </c>
      <c r="D85" s="299">
        <f>K74</f>
        <v>30</v>
      </c>
      <c r="E85" s="203" t="s">
        <v>185</v>
      </c>
      <c r="F85" s="300">
        <v>75000</v>
      </c>
      <c r="G85" s="301">
        <f>D85*F85</f>
        <v>2250000</v>
      </c>
      <c r="H85" s="301"/>
      <c r="I85" s="302"/>
      <c r="J85" s="302"/>
      <c r="K85" s="303"/>
      <c r="L85" s="298"/>
      <c r="M85" s="296"/>
    </row>
    <row r="86" spans="1:15">
      <c r="A86" s="95"/>
      <c r="B86" s="96"/>
      <c r="C86" s="97"/>
      <c r="D86" s="98"/>
      <c r="E86" s="95"/>
      <c r="F86" s="99"/>
      <c r="G86" s="100"/>
      <c r="H86" s="100"/>
      <c r="I86" s="95"/>
      <c r="J86" s="95"/>
      <c r="K86" s="102"/>
      <c r="L86" s="134"/>
      <c r="M86" s="195"/>
    </row>
    <row r="87" spans="1:15">
      <c r="A87" s="60"/>
      <c r="B87" s="61"/>
      <c r="C87" s="62"/>
      <c r="D87" s="63"/>
      <c r="E87" s="64"/>
      <c r="F87" s="69" t="s">
        <v>10</v>
      </c>
      <c r="G87" s="75">
        <f>SUM(G75:G86)</f>
        <v>70850000</v>
      </c>
      <c r="H87" s="75">
        <f>SUM(H75:H86)</f>
        <v>64050000</v>
      </c>
      <c r="I87" s="65"/>
      <c r="J87" s="65"/>
      <c r="K87" s="66"/>
      <c r="L87" s="136"/>
    </row>
    <row r="88" spans="1:15">
      <c r="A88" s="60"/>
      <c r="B88" s="61"/>
      <c r="C88" s="62"/>
      <c r="D88" s="63"/>
      <c r="E88" s="64"/>
      <c r="F88" s="70" t="s">
        <v>73</v>
      </c>
      <c r="G88" s="76"/>
      <c r="H88" s="75">
        <f>H87+G87</f>
        <v>134900000</v>
      </c>
      <c r="I88" s="65"/>
      <c r="J88" s="65"/>
      <c r="K88" s="66"/>
      <c r="L88" s="136"/>
      <c r="M88" s="6">
        <f>G87/K74</f>
        <v>2361666.6666666665</v>
      </c>
    </row>
    <row r="89" spans="1:15">
      <c r="A89" s="60"/>
      <c r="B89" s="61"/>
      <c r="C89" s="62"/>
      <c r="D89" s="63"/>
      <c r="E89" s="64"/>
      <c r="F89" s="70" t="s">
        <v>297</v>
      </c>
      <c r="G89" s="78"/>
      <c r="H89" s="71">
        <v>8815.32</v>
      </c>
      <c r="I89" s="65" t="s">
        <v>15</v>
      </c>
      <c r="J89" s="65"/>
      <c r="K89" s="66"/>
      <c r="L89" s="136"/>
    </row>
    <row r="90" spans="1:15">
      <c r="A90" s="60"/>
      <c r="B90" s="61"/>
      <c r="C90" s="62"/>
      <c r="D90" s="63"/>
      <c r="E90" s="64"/>
      <c r="F90" s="70" t="s">
        <v>74</v>
      </c>
      <c r="G90" s="76"/>
      <c r="H90" s="75">
        <f>H88/H89</f>
        <v>15302.904489003236</v>
      </c>
      <c r="I90" s="65" t="s">
        <v>75</v>
      </c>
      <c r="J90" s="65"/>
      <c r="K90" s="66"/>
      <c r="L90" s="136"/>
    </row>
    <row r="91" spans="1:15" s="128" customFormat="1">
      <c r="A91" s="156"/>
      <c r="B91" s="157"/>
      <c r="C91" s="158"/>
      <c r="D91" s="159"/>
      <c r="E91" s="160"/>
      <c r="F91" s="161"/>
      <c r="G91" s="162"/>
      <c r="H91" s="163"/>
      <c r="I91" s="164"/>
      <c r="J91" s="164"/>
      <c r="K91" s="165"/>
      <c r="L91" s="166"/>
    </row>
    <row r="92" spans="1:15" s="26" customFormat="1">
      <c r="A92" s="83" t="s">
        <v>108</v>
      </c>
      <c r="B92" s="84" t="s">
        <v>40</v>
      </c>
      <c r="C92" s="85"/>
      <c r="D92" s="86"/>
      <c r="E92" s="87"/>
      <c r="F92" s="88"/>
      <c r="G92" s="89"/>
      <c r="H92" s="89"/>
      <c r="I92" s="90">
        <f>MIN(I93:I104)</f>
        <v>42134</v>
      </c>
      <c r="J92" s="91">
        <f>MAX(J93:J104)</f>
        <v>42257</v>
      </c>
      <c r="K92" s="92">
        <v>20</v>
      </c>
      <c r="L92" s="132" t="s">
        <v>80</v>
      </c>
    </row>
    <row r="93" spans="1:15">
      <c r="A93" s="47">
        <v>1</v>
      </c>
      <c r="B93" s="167" t="s">
        <v>224</v>
      </c>
      <c r="C93" s="48" t="s">
        <v>42</v>
      </c>
      <c r="D93" s="49"/>
      <c r="E93" s="47" t="s">
        <v>15</v>
      </c>
      <c r="F93" s="93"/>
      <c r="G93" s="77">
        <v>5000000</v>
      </c>
      <c r="H93" s="77"/>
      <c r="I93" s="50">
        <f>J33+1</f>
        <v>42134</v>
      </c>
      <c r="J93" s="50">
        <f>I93+9</f>
        <v>42143</v>
      </c>
      <c r="K93" s="303">
        <f>J93-I93+1</f>
        <v>10</v>
      </c>
      <c r="L93" s="169" t="s">
        <v>365</v>
      </c>
      <c r="M93" s="601">
        <v>200</v>
      </c>
      <c r="N93" s="601" t="s">
        <v>383</v>
      </c>
      <c r="O93">
        <f>85000+175000</f>
        <v>260000</v>
      </c>
    </row>
    <row r="94" spans="1:15" s="297" customFormat="1">
      <c r="A94" s="197">
        <f>A93+1</f>
        <v>2</v>
      </c>
      <c r="B94" s="290" t="s">
        <v>382</v>
      </c>
      <c r="C94" s="121" t="s">
        <v>2</v>
      </c>
      <c r="D94" s="291">
        <v>821</v>
      </c>
      <c r="E94" s="197" t="s">
        <v>49</v>
      </c>
      <c r="F94" s="292">
        <f>F81</f>
        <v>9000</v>
      </c>
      <c r="G94" s="293">
        <f>F94*D94</f>
        <v>7389000</v>
      </c>
      <c r="H94" s="293"/>
      <c r="I94" s="302"/>
      <c r="J94" s="302"/>
      <c r="K94" s="295"/>
      <c r="L94" s="290" t="s">
        <v>385</v>
      </c>
      <c r="M94" s="602">
        <f>H107/M93</f>
        <v>20.53125</v>
      </c>
      <c r="N94" s="603" t="s">
        <v>228</v>
      </c>
    </row>
    <row r="95" spans="1:15">
      <c r="A95" s="95">
        <f t="shared" ref="A95:A103" si="24">A94+1</f>
        <v>3</v>
      </c>
      <c r="B95" s="171" t="s">
        <v>170</v>
      </c>
      <c r="C95" s="97" t="s">
        <v>2</v>
      </c>
      <c r="D95" s="98">
        <f>130*K92</f>
        <v>2600</v>
      </c>
      <c r="E95" s="95" t="s">
        <v>49</v>
      </c>
      <c r="F95" s="99">
        <f>F94</f>
        <v>9000</v>
      </c>
      <c r="G95" s="100">
        <f>F95*D95</f>
        <v>23400000</v>
      </c>
      <c r="H95" s="100"/>
      <c r="I95" s="101"/>
      <c r="J95" s="101"/>
      <c r="K95" s="102"/>
      <c r="L95" s="281" t="s">
        <v>316</v>
      </c>
      <c r="M95" s="604">
        <f>D93/M93</f>
        <v>0</v>
      </c>
      <c r="N95" s="601"/>
      <c r="O95" s="94">
        <f>O93/4</f>
        <v>65000</v>
      </c>
    </row>
    <row r="96" spans="1:15">
      <c r="A96" s="95">
        <f t="shared" si="24"/>
        <v>4</v>
      </c>
      <c r="B96" s="96" t="s">
        <v>79</v>
      </c>
      <c r="C96" s="97" t="s">
        <v>3</v>
      </c>
      <c r="D96" s="98">
        <f>K92</f>
        <v>20</v>
      </c>
      <c r="E96" s="95" t="s">
        <v>51</v>
      </c>
      <c r="F96" s="99">
        <v>150000</v>
      </c>
      <c r="G96" s="100">
        <f>F96*D96</f>
        <v>3000000</v>
      </c>
      <c r="H96" s="100"/>
      <c r="I96" s="101">
        <f>J172+1</f>
        <v>42248</v>
      </c>
      <c r="J96" s="101">
        <f>I96+9</f>
        <v>42257</v>
      </c>
      <c r="K96" s="102">
        <f>J96-I96+1</f>
        <v>10</v>
      </c>
      <c r="L96" s="527" t="s">
        <v>386</v>
      </c>
      <c r="M96" s="604">
        <f>H107/10</f>
        <v>410.625</v>
      </c>
      <c r="N96" s="601" t="s">
        <v>84</v>
      </c>
    </row>
    <row r="97" spans="1:18">
      <c r="A97" s="34">
        <f t="shared" si="24"/>
        <v>5</v>
      </c>
      <c r="B97" s="16" t="s">
        <v>55</v>
      </c>
      <c r="C97" s="44" t="s">
        <v>53</v>
      </c>
      <c r="D97" s="31">
        <f>K92*8</f>
        <v>160</v>
      </c>
      <c r="E97" s="34" t="s">
        <v>54</v>
      </c>
      <c r="F97" s="17">
        <f>100000+150000</f>
        <v>250000</v>
      </c>
      <c r="G97" s="74"/>
      <c r="H97" s="74">
        <f>F97*D97</f>
        <v>40000000</v>
      </c>
      <c r="I97" s="42"/>
      <c r="J97" s="42"/>
      <c r="K97" s="39"/>
      <c r="L97" s="281"/>
      <c r="M97" s="604">
        <f>M96*2</f>
        <v>821.25</v>
      </c>
      <c r="N97" s="601" t="s">
        <v>379</v>
      </c>
    </row>
    <row r="98" spans="1:18">
      <c r="A98" s="95">
        <f t="shared" si="24"/>
        <v>6</v>
      </c>
      <c r="B98" s="96" t="s">
        <v>122</v>
      </c>
      <c r="C98" s="97" t="s">
        <v>57</v>
      </c>
      <c r="D98" s="98">
        <f>K92</f>
        <v>20</v>
      </c>
      <c r="E98" s="95" t="s">
        <v>59</v>
      </c>
      <c r="F98" s="99">
        <v>100000</v>
      </c>
      <c r="G98" s="100"/>
      <c r="H98" s="100">
        <f t="shared" ref="H98:H99" si="25">F98*D98</f>
        <v>2000000</v>
      </c>
      <c r="I98" s="101"/>
      <c r="J98" s="101"/>
      <c r="K98" s="102"/>
      <c r="L98" s="281" t="s">
        <v>380</v>
      </c>
    </row>
    <row r="99" spans="1:18">
      <c r="A99" s="119">
        <f t="shared" si="24"/>
        <v>7</v>
      </c>
      <c r="B99" s="120" t="s">
        <v>58</v>
      </c>
      <c r="C99" s="121" t="s">
        <v>57</v>
      </c>
      <c r="D99" s="122">
        <f>K92</f>
        <v>20</v>
      </c>
      <c r="E99" s="119" t="s">
        <v>59</v>
      </c>
      <c r="F99" s="123">
        <v>120000</v>
      </c>
      <c r="G99" s="124"/>
      <c r="H99" s="124">
        <f t="shared" si="25"/>
        <v>2400000</v>
      </c>
      <c r="I99" s="125"/>
      <c r="J99" s="125"/>
      <c r="K99" s="126"/>
      <c r="L99" s="140" t="s">
        <v>381</v>
      </c>
    </row>
    <row r="100" spans="1:18">
      <c r="A100" s="572">
        <f t="shared" si="24"/>
        <v>8</v>
      </c>
      <c r="B100" s="573" t="s">
        <v>384</v>
      </c>
      <c r="C100" s="574" t="s">
        <v>57</v>
      </c>
      <c r="D100" s="575">
        <f>D99*1</f>
        <v>20</v>
      </c>
      <c r="E100" s="572" t="s">
        <v>59</v>
      </c>
      <c r="F100" s="576">
        <v>35000</v>
      </c>
      <c r="G100" s="577">
        <f>F100*D100</f>
        <v>700000</v>
      </c>
      <c r="H100" s="577"/>
      <c r="I100" s="578"/>
      <c r="J100" s="578"/>
      <c r="K100" s="579"/>
      <c r="L100" s="599"/>
      <c r="M100" s="33"/>
    </row>
    <row r="101" spans="1:18">
      <c r="A101" s="119">
        <f t="shared" si="24"/>
        <v>9</v>
      </c>
      <c r="B101" s="176" t="s">
        <v>76</v>
      </c>
      <c r="C101" s="121" t="s">
        <v>3</v>
      </c>
      <c r="D101" s="122">
        <f>K92</f>
        <v>20</v>
      </c>
      <c r="E101" s="119" t="s">
        <v>51</v>
      </c>
      <c r="F101" s="123">
        <v>300000</v>
      </c>
      <c r="G101" s="124">
        <f>F101*D101</f>
        <v>6000000</v>
      </c>
      <c r="H101" s="124"/>
      <c r="I101" s="125"/>
      <c r="J101" s="125"/>
      <c r="K101" s="126"/>
      <c r="L101" s="253"/>
    </row>
    <row r="102" spans="1:18" s="297" customFormat="1">
      <c r="A102" s="580">
        <f t="shared" si="24"/>
        <v>10</v>
      </c>
      <c r="B102" s="581" t="s">
        <v>186</v>
      </c>
      <c r="C102" s="574" t="s">
        <v>57</v>
      </c>
      <c r="D102" s="582">
        <f>K92</f>
        <v>20</v>
      </c>
      <c r="E102" s="580" t="s">
        <v>185</v>
      </c>
      <c r="F102" s="583">
        <f>75000*2</f>
        <v>150000</v>
      </c>
      <c r="G102" s="584">
        <f>F102*D102</f>
        <v>3000000</v>
      </c>
      <c r="H102" s="584"/>
      <c r="I102" s="585"/>
      <c r="J102" s="585"/>
      <c r="K102" s="586"/>
      <c r="L102" s="581"/>
      <c r="M102" s="296">
        <f>2853.75/300</f>
        <v>9.5124999999999993</v>
      </c>
    </row>
    <row r="103" spans="1:18" s="307" customFormat="1">
      <c r="A103" s="197">
        <f t="shared" si="24"/>
        <v>11</v>
      </c>
      <c r="B103" s="290" t="s">
        <v>313</v>
      </c>
      <c r="C103" s="121" t="s">
        <v>57</v>
      </c>
      <c r="D103" s="291">
        <f>K92</f>
        <v>20</v>
      </c>
      <c r="E103" s="197" t="s">
        <v>185</v>
      </c>
      <c r="F103" s="292">
        <v>200000</v>
      </c>
      <c r="G103" s="293">
        <f>D103*F103</f>
        <v>4000000</v>
      </c>
      <c r="H103" s="293"/>
      <c r="I103" s="294"/>
      <c r="J103" s="294"/>
      <c r="K103" s="295"/>
      <c r="L103" s="290"/>
      <c r="M103" s="306"/>
    </row>
    <row r="104" spans="1:18" s="128" customFormat="1">
      <c r="A104" s="587"/>
      <c r="B104" s="588"/>
      <c r="C104" s="589"/>
      <c r="D104" s="590"/>
      <c r="E104" s="587"/>
      <c r="F104" s="591"/>
      <c r="G104" s="592"/>
      <c r="H104" s="592"/>
      <c r="I104" s="587"/>
      <c r="J104" s="587"/>
      <c r="K104" s="593"/>
      <c r="L104" s="594"/>
      <c r="M104" s="544">
        <f>G105/K92</f>
        <v>2624450</v>
      </c>
    </row>
    <row r="105" spans="1:18">
      <c r="A105" s="60"/>
      <c r="B105" s="61"/>
      <c r="C105" s="62"/>
      <c r="D105" s="63"/>
      <c r="E105" s="64"/>
      <c r="F105" s="69" t="s">
        <v>10</v>
      </c>
      <c r="G105" s="75">
        <f>SUM(G93:G104)</f>
        <v>52489000</v>
      </c>
      <c r="H105" s="75">
        <f>SUM(H93:H104)</f>
        <v>44400000</v>
      </c>
      <c r="I105" s="65"/>
      <c r="J105" s="65"/>
      <c r="K105" s="66"/>
      <c r="L105" s="136"/>
    </row>
    <row r="106" spans="1:18">
      <c r="A106" s="60"/>
      <c r="B106" s="61"/>
      <c r="C106" s="62"/>
      <c r="D106" s="63"/>
      <c r="E106" s="64"/>
      <c r="F106" s="70" t="s">
        <v>73</v>
      </c>
      <c r="G106" s="76"/>
      <c r="H106" s="75">
        <f>H105+G105</f>
        <v>96889000</v>
      </c>
      <c r="I106" s="65"/>
      <c r="J106" s="65"/>
      <c r="K106" s="66"/>
      <c r="L106" s="136"/>
    </row>
    <row r="107" spans="1:18">
      <c r="A107" s="60"/>
      <c r="B107" s="61"/>
      <c r="C107" s="62"/>
      <c r="D107" s="63"/>
      <c r="E107" s="64"/>
      <c r="F107" s="70" t="s">
        <v>297</v>
      </c>
      <c r="G107" s="78"/>
      <c r="H107" s="71">
        <v>4106.25</v>
      </c>
      <c r="I107" s="65" t="s">
        <v>15</v>
      </c>
      <c r="J107" s="65"/>
      <c r="K107" s="66"/>
      <c r="L107" s="136"/>
    </row>
    <row r="108" spans="1:18">
      <c r="A108" s="60"/>
      <c r="B108" s="61"/>
      <c r="C108" s="62"/>
      <c r="D108" s="63"/>
      <c r="E108" s="64"/>
      <c r="F108" s="70" t="s">
        <v>74</v>
      </c>
      <c r="G108" s="76"/>
      <c r="H108" s="75">
        <f>H106/H107</f>
        <v>23595.494672754947</v>
      </c>
      <c r="I108" s="65" t="s">
        <v>75</v>
      </c>
      <c r="J108" s="65"/>
      <c r="K108" s="66"/>
      <c r="L108" s="136"/>
    </row>
    <row r="110" spans="1:18" s="26" customFormat="1">
      <c r="A110" s="83" t="s">
        <v>116</v>
      </c>
      <c r="B110" s="84" t="s">
        <v>78</v>
      </c>
      <c r="C110" s="85"/>
      <c r="D110" s="86"/>
      <c r="E110" s="87"/>
      <c r="F110" s="88"/>
      <c r="G110" s="89"/>
      <c r="H110" s="89"/>
      <c r="I110" s="90">
        <f>MIN(I111:I126)</f>
        <v>42144</v>
      </c>
      <c r="J110" s="91">
        <f>MAX(J111:J126)</f>
        <v>42189</v>
      </c>
      <c r="K110" s="92">
        <f>J110-I110+1</f>
        <v>46</v>
      </c>
      <c r="L110" s="132" t="s">
        <v>80</v>
      </c>
    </row>
    <row r="111" spans="1:18" s="307" customFormat="1">
      <c r="A111" s="534">
        <v>1</v>
      </c>
      <c r="B111" s="535" t="s">
        <v>364</v>
      </c>
      <c r="C111" s="534" t="s">
        <v>42</v>
      </c>
      <c r="D111" s="536">
        <f>H129*1.3</f>
        <v>9172.8000000000011</v>
      </c>
      <c r="E111" s="534" t="s">
        <v>15</v>
      </c>
      <c r="F111" s="537">
        <v>53000</v>
      </c>
      <c r="G111" s="288">
        <f>F111*D111</f>
        <v>486158400.00000006</v>
      </c>
      <c r="H111" s="538"/>
      <c r="I111" s="305">
        <f>J93+1</f>
        <v>42144</v>
      </c>
      <c r="J111" s="305">
        <f>I111+45</f>
        <v>42189</v>
      </c>
      <c r="K111" s="539">
        <f>J111-I111+1</f>
        <v>46</v>
      </c>
      <c r="L111" s="535" t="s">
        <v>307</v>
      </c>
      <c r="M111" s="307">
        <v>200</v>
      </c>
      <c r="N111" s="307">
        <f>6300*1.2</f>
        <v>7560</v>
      </c>
      <c r="O111" s="307">
        <f>85000+175000</f>
        <v>260000</v>
      </c>
    </row>
    <row r="112" spans="1:18" s="128" customFormat="1">
      <c r="A112" s="119">
        <v>2</v>
      </c>
      <c r="B112" s="176" t="s">
        <v>170</v>
      </c>
      <c r="C112" s="121" t="s">
        <v>2</v>
      </c>
      <c r="D112" s="122">
        <f>130*K110</f>
        <v>5980</v>
      </c>
      <c r="E112" s="119" t="s">
        <v>49</v>
      </c>
      <c r="F112" s="123">
        <f>F95</f>
        <v>9000</v>
      </c>
      <c r="G112" s="124">
        <f>F112*D112</f>
        <v>53820000</v>
      </c>
      <c r="H112" s="124"/>
      <c r="I112" s="125"/>
      <c r="J112" s="125"/>
      <c r="K112" s="126"/>
      <c r="L112" s="290" t="s">
        <v>360</v>
      </c>
      <c r="M112" s="127">
        <f>D111/M111</f>
        <v>45.864000000000004</v>
      </c>
      <c r="O112" s="129">
        <f>O111/4</f>
        <v>65000</v>
      </c>
      <c r="R112" s="544">
        <f>2000*65000</f>
        <v>130000000</v>
      </c>
    </row>
    <row r="113" spans="1:18" s="209" customFormat="1">
      <c r="A113" s="95">
        <v>3</v>
      </c>
      <c r="B113" s="96" t="s">
        <v>81</v>
      </c>
      <c r="C113" s="97" t="s">
        <v>2</v>
      </c>
      <c r="D113" s="98">
        <f>30*K110</f>
        <v>1380</v>
      </c>
      <c r="E113" s="95" t="s">
        <v>49</v>
      </c>
      <c r="F113" s="99">
        <v>6900</v>
      </c>
      <c r="G113" s="124">
        <f>F113*D113</f>
        <v>9522000</v>
      </c>
      <c r="H113" s="100"/>
      <c r="I113" s="101"/>
      <c r="J113" s="101"/>
      <c r="K113" s="102"/>
      <c r="L113" s="285" t="s">
        <v>361</v>
      </c>
      <c r="M113" s="540">
        <f>M111/4</f>
        <v>50</v>
      </c>
      <c r="N113" s="209" t="s">
        <v>84</v>
      </c>
      <c r="R113" s="283">
        <f>7172*49500</f>
        <v>355014000</v>
      </c>
    </row>
    <row r="114" spans="1:18" s="128" customFormat="1">
      <c r="A114" s="119">
        <v>4</v>
      </c>
      <c r="B114" s="120" t="s">
        <v>79</v>
      </c>
      <c r="C114" s="121" t="s">
        <v>3</v>
      </c>
      <c r="D114" s="122">
        <f>K110</f>
        <v>46</v>
      </c>
      <c r="E114" s="119" t="s">
        <v>51</v>
      </c>
      <c r="F114" s="123">
        <v>200000</v>
      </c>
      <c r="G114" s="124">
        <f>F114*D114</f>
        <v>9200000</v>
      </c>
      <c r="H114" s="124"/>
      <c r="I114" s="125"/>
      <c r="J114" s="125"/>
      <c r="K114" s="126"/>
      <c r="L114" s="253" t="s">
        <v>317</v>
      </c>
      <c r="M114" s="127">
        <f>M113/5</f>
        <v>10</v>
      </c>
      <c r="N114" s="128" t="s">
        <v>83</v>
      </c>
    </row>
    <row r="115" spans="1:18" s="209" customFormat="1">
      <c r="A115" s="95">
        <v>5</v>
      </c>
      <c r="B115" s="96" t="s">
        <v>55</v>
      </c>
      <c r="C115" s="97" t="s">
        <v>53</v>
      </c>
      <c r="D115" s="98">
        <f>K110*8</f>
        <v>368</v>
      </c>
      <c r="E115" s="95" t="s">
        <v>54</v>
      </c>
      <c r="F115" s="99">
        <f>100000+150000</f>
        <v>250000</v>
      </c>
      <c r="G115" s="100"/>
      <c r="H115" s="100">
        <f>F115*D115</f>
        <v>92000000</v>
      </c>
      <c r="I115" s="101"/>
      <c r="J115" s="101"/>
      <c r="K115" s="102"/>
      <c r="L115" s="134" t="s">
        <v>359</v>
      </c>
      <c r="R115" s="828">
        <f>SUM(R112:R114)/9172</f>
        <v>52879.851722634106</v>
      </c>
    </row>
    <row r="116" spans="1:18" s="128" customFormat="1">
      <c r="A116" s="119">
        <v>6</v>
      </c>
      <c r="B116" s="120" t="s">
        <v>122</v>
      </c>
      <c r="C116" s="121" t="s">
        <v>57</v>
      </c>
      <c r="D116" s="122">
        <f>K110</f>
        <v>46</v>
      </c>
      <c r="E116" s="119" t="s">
        <v>59</v>
      </c>
      <c r="F116" s="123">
        <v>100000</v>
      </c>
      <c r="G116" s="124"/>
      <c r="H116" s="124">
        <f t="shared" ref="H116" si="26">F116*D116</f>
        <v>4600000</v>
      </c>
      <c r="I116" s="125"/>
      <c r="J116" s="125"/>
      <c r="K116" s="126"/>
      <c r="L116" s="140"/>
      <c r="M116" s="544">
        <f>G112/K110</f>
        <v>1170000</v>
      </c>
    </row>
    <row r="117" spans="1:18" s="209" customFormat="1">
      <c r="A117" s="95">
        <v>8</v>
      </c>
      <c r="B117" s="96" t="s">
        <v>58</v>
      </c>
      <c r="C117" s="97" t="s">
        <v>57</v>
      </c>
      <c r="D117" s="98">
        <f>K110</f>
        <v>46</v>
      </c>
      <c r="E117" s="95" t="s">
        <v>59</v>
      </c>
      <c r="F117" s="99">
        <v>120000</v>
      </c>
      <c r="G117" s="100"/>
      <c r="H117" s="100">
        <f t="shared" ref="H117" si="27">F117*D117</f>
        <v>5520000</v>
      </c>
      <c r="I117" s="101"/>
      <c r="J117" s="101"/>
      <c r="K117" s="102"/>
      <c r="L117" s="134"/>
      <c r="M117" s="283">
        <f>G114/K110</f>
        <v>200000</v>
      </c>
    </row>
    <row r="118" spans="1:18" s="128" customFormat="1">
      <c r="A118" s="119">
        <v>9</v>
      </c>
      <c r="B118" s="176" t="s">
        <v>389</v>
      </c>
      <c r="C118" s="121" t="s">
        <v>57</v>
      </c>
      <c r="D118" s="122">
        <f>D117*2</f>
        <v>92</v>
      </c>
      <c r="E118" s="119" t="s">
        <v>59</v>
      </c>
      <c r="F118" s="123">
        <v>35000</v>
      </c>
      <c r="G118" s="124">
        <f>F118*D118</f>
        <v>3220000</v>
      </c>
      <c r="H118" s="124"/>
      <c r="I118" s="125"/>
      <c r="J118" s="125"/>
      <c r="K118" s="126"/>
      <c r="L118" s="140"/>
      <c r="M118" s="544">
        <f>G118/35</f>
        <v>92000</v>
      </c>
    </row>
    <row r="119" spans="1:18" s="209" customFormat="1">
      <c r="A119" s="95">
        <v>10</v>
      </c>
      <c r="B119" s="96" t="s">
        <v>76</v>
      </c>
      <c r="C119" s="97" t="s">
        <v>3</v>
      </c>
      <c r="D119" s="98">
        <f>K110</f>
        <v>46</v>
      </c>
      <c r="E119" s="95" t="s">
        <v>51</v>
      </c>
      <c r="F119" s="99">
        <v>300000</v>
      </c>
      <c r="G119" s="100">
        <f>F119*D119</f>
        <v>13800000</v>
      </c>
      <c r="H119" s="100"/>
      <c r="I119" s="101"/>
      <c r="J119" s="101"/>
      <c r="K119" s="102"/>
      <c r="L119" s="134"/>
      <c r="M119" s="283">
        <f>G119/K110</f>
        <v>300000</v>
      </c>
      <c r="N119" s="209">
        <f>27*30</f>
        <v>810</v>
      </c>
    </row>
    <row r="120" spans="1:18" s="128" customFormat="1">
      <c r="A120" s="119">
        <v>11</v>
      </c>
      <c r="B120" s="545" t="s">
        <v>472</v>
      </c>
      <c r="C120" s="121" t="s">
        <v>2</v>
      </c>
      <c r="D120" s="122">
        <f>957*K110</f>
        <v>44022</v>
      </c>
      <c r="E120" s="119" t="s">
        <v>49</v>
      </c>
      <c r="F120" s="123">
        <f>F112</f>
        <v>9000</v>
      </c>
      <c r="G120" s="124">
        <f>F120*D120</f>
        <v>396198000</v>
      </c>
      <c r="H120" s="124"/>
      <c r="I120" s="125"/>
      <c r="J120" s="125"/>
      <c r="K120" s="126"/>
      <c r="L120" s="140"/>
      <c r="M120" s="544">
        <f>G120/K110</f>
        <v>8613000</v>
      </c>
    </row>
    <row r="121" spans="1:18" s="209" customFormat="1">
      <c r="A121" s="104">
        <v>12</v>
      </c>
      <c r="B121" s="177" t="s">
        <v>358</v>
      </c>
      <c r="C121" s="105" t="s">
        <v>57</v>
      </c>
      <c r="D121" s="106">
        <f>1*K110</f>
        <v>46</v>
      </c>
      <c r="E121" s="104" t="s">
        <v>59</v>
      </c>
      <c r="F121" s="107">
        <v>115000</v>
      </c>
      <c r="G121" s="108"/>
      <c r="H121" s="100">
        <f t="shared" ref="H121" si="28">F121*D121</f>
        <v>5290000</v>
      </c>
      <c r="I121" s="109"/>
      <c r="J121" s="109"/>
      <c r="K121" s="110"/>
      <c r="L121" s="134"/>
      <c r="M121" s="209">
        <f>5*0.5*2</f>
        <v>5</v>
      </c>
    </row>
    <row r="122" spans="1:18" s="128" customFormat="1">
      <c r="A122" s="119">
        <v>13</v>
      </c>
      <c r="B122" s="176" t="s">
        <v>169</v>
      </c>
      <c r="C122" s="121" t="s">
        <v>53</v>
      </c>
      <c r="D122" s="122">
        <f>1*K110</f>
        <v>46</v>
      </c>
      <c r="E122" s="119" t="s">
        <v>88</v>
      </c>
      <c r="F122" s="123">
        <v>500000</v>
      </c>
      <c r="G122" s="124"/>
      <c r="H122" s="124">
        <f>F122*D122</f>
        <v>23000000</v>
      </c>
      <c r="I122" s="119"/>
      <c r="J122" s="119"/>
      <c r="K122" s="126"/>
      <c r="L122" s="140"/>
      <c r="O122" s="546">
        <f>Q126</f>
        <v>1607.1428571428569</v>
      </c>
    </row>
    <row r="123" spans="1:18" s="307" customFormat="1">
      <c r="A123" s="284">
        <f>A122+1</f>
        <v>14</v>
      </c>
      <c r="B123" s="285" t="s">
        <v>387</v>
      </c>
      <c r="C123" s="284" t="s">
        <v>57</v>
      </c>
      <c r="D123" s="286">
        <f>K110</f>
        <v>46</v>
      </c>
      <c r="E123" s="284" t="s">
        <v>185</v>
      </c>
      <c r="F123" s="287">
        <f>75000*3</f>
        <v>225000</v>
      </c>
      <c r="G123" s="288">
        <f>D123*F123</f>
        <v>10350000</v>
      </c>
      <c r="H123" s="288"/>
      <c r="I123" s="526"/>
      <c r="J123" s="526"/>
      <c r="K123" s="289"/>
      <c r="L123" s="285"/>
      <c r="M123" s="306"/>
      <c r="N123" s="307" t="s">
        <v>220</v>
      </c>
      <c r="O123" s="542">
        <v>25000</v>
      </c>
    </row>
    <row r="124" spans="1:18" s="297" customFormat="1">
      <c r="A124" s="197">
        <v>15</v>
      </c>
      <c r="B124" s="290" t="s">
        <v>313</v>
      </c>
      <c r="C124" s="197" t="s">
        <v>57</v>
      </c>
      <c r="D124" s="291">
        <f>K110</f>
        <v>46</v>
      </c>
      <c r="E124" s="197" t="s">
        <v>185</v>
      </c>
      <c r="F124" s="292">
        <v>200000</v>
      </c>
      <c r="G124" s="293">
        <f>D124*F124</f>
        <v>9200000</v>
      </c>
      <c r="H124" s="293"/>
      <c r="I124" s="294"/>
      <c r="J124" s="294"/>
      <c r="K124" s="295"/>
      <c r="L124" s="290"/>
      <c r="M124" s="296">
        <f>D111/10</f>
        <v>917.28000000000009</v>
      </c>
    </row>
    <row r="125" spans="1:18" s="209" customFormat="1">
      <c r="A125" s="111"/>
      <c r="B125" s="179"/>
      <c r="C125" s="113"/>
      <c r="D125" s="114"/>
      <c r="E125" s="111"/>
      <c r="F125" s="115"/>
      <c r="G125" s="116"/>
      <c r="H125" s="116"/>
      <c r="I125" s="117"/>
      <c r="J125" s="117"/>
      <c r="K125" s="118"/>
      <c r="L125" s="139"/>
      <c r="M125" s="209">
        <f>M124*315</f>
        <v>288943.2</v>
      </c>
      <c r="O125" s="541">
        <f>27*9000</f>
        <v>243000</v>
      </c>
      <c r="P125" s="543" t="s">
        <v>221</v>
      </c>
    </row>
    <row r="126" spans="1:18">
      <c r="A126" s="35"/>
      <c r="B126" s="18"/>
      <c r="C126" s="45"/>
      <c r="D126" s="32"/>
      <c r="E126" s="35"/>
      <c r="F126" s="19"/>
      <c r="G126" s="81"/>
      <c r="H126" s="81"/>
      <c r="I126" s="35"/>
      <c r="J126" s="35"/>
      <c r="K126" s="40"/>
      <c r="L126" s="138"/>
      <c r="O126">
        <f>150/7</f>
        <v>21.428571428571427</v>
      </c>
      <c r="P126" s="173" t="s">
        <v>222</v>
      </c>
      <c r="Q126">
        <f>O128*9000</f>
        <v>1607.1428571428569</v>
      </c>
    </row>
    <row r="127" spans="1:18">
      <c r="A127" s="60"/>
      <c r="B127" s="61"/>
      <c r="C127" s="62"/>
      <c r="D127" s="63"/>
      <c r="E127" s="64"/>
      <c r="F127" s="69" t="s">
        <v>10</v>
      </c>
      <c r="G127" s="75">
        <f>SUM(G111:G126)</f>
        <v>991468400</v>
      </c>
      <c r="H127" s="75">
        <f>SUM(H111:H126)</f>
        <v>130410000</v>
      </c>
      <c r="I127" s="65"/>
      <c r="J127" s="65"/>
      <c r="K127" s="66"/>
      <c r="L127" s="136"/>
      <c r="M127" s="6">
        <f>G127/K110</f>
        <v>21553660.869565219</v>
      </c>
      <c r="O127">
        <f>O126/60</f>
        <v>0.3571428571428571</v>
      </c>
    </row>
    <row r="128" spans="1:18">
      <c r="A128" s="60"/>
      <c r="B128" s="61"/>
      <c r="C128" s="62"/>
      <c r="D128" s="63"/>
      <c r="E128" s="64"/>
      <c r="F128" s="70" t="s">
        <v>73</v>
      </c>
      <c r="G128" s="76"/>
      <c r="H128" s="75">
        <f>H127+G127</f>
        <v>1121878400</v>
      </c>
      <c r="I128" s="65"/>
      <c r="J128" s="65"/>
      <c r="K128" s="66"/>
      <c r="L128" s="136"/>
      <c r="O128">
        <f>O127*0.5</f>
        <v>0.17857142857142855</v>
      </c>
    </row>
    <row r="129" spans="1:17">
      <c r="A129" s="60"/>
      <c r="B129" s="61"/>
      <c r="C129" s="62"/>
      <c r="D129" s="63"/>
      <c r="E129" s="64"/>
      <c r="F129" s="70" t="s">
        <v>297</v>
      </c>
      <c r="G129" s="78"/>
      <c r="H129" s="71">
        <v>7056</v>
      </c>
      <c r="I129" s="65" t="s">
        <v>15</v>
      </c>
      <c r="J129" s="65"/>
      <c r="K129" s="66"/>
      <c r="L129" s="136"/>
    </row>
    <row r="130" spans="1:17">
      <c r="A130" s="60"/>
      <c r="B130" s="61"/>
      <c r="C130" s="62"/>
      <c r="D130" s="63"/>
      <c r="E130" s="64"/>
      <c r="F130" s="70" t="s">
        <v>74</v>
      </c>
      <c r="G130" s="76"/>
      <c r="H130" s="75">
        <f>H128/H129</f>
        <v>158996.37188208615</v>
      </c>
      <c r="I130" s="65" t="s">
        <v>75</v>
      </c>
      <c r="J130" s="65"/>
      <c r="K130" s="66"/>
      <c r="L130" s="136"/>
      <c r="M130" s="170">
        <f>D111/8</f>
        <v>1146.6000000000001</v>
      </c>
      <c r="O130" s="280">
        <f>SUM(O122:O125)</f>
        <v>269607.14285714284</v>
      </c>
    </row>
    <row r="131" spans="1:17">
      <c r="M131" s="170">
        <f>M130*319</f>
        <v>365765.4</v>
      </c>
      <c r="N131" s="173"/>
      <c r="O131" s="170">
        <f>O130/4</f>
        <v>67401.78571428571</v>
      </c>
    </row>
    <row r="132" spans="1:17" s="26" customFormat="1">
      <c r="A132" s="83" t="s">
        <v>346</v>
      </c>
      <c r="B132" s="84" t="s">
        <v>91</v>
      </c>
      <c r="C132" s="85"/>
      <c r="D132" s="86"/>
      <c r="E132" s="87"/>
      <c r="F132" s="88"/>
      <c r="G132" s="89"/>
      <c r="H132" s="89"/>
      <c r="I132" s="90">
        <f>MIN(I133:I147)</f>
        <v>42190</v>
      </c>
      <c r="J132" s="91">
        <f>J133+14</f>
        <v>42233</v>
      </c>
      <c r="K132" s="92">
        <f>K133</f>
        <v>30</v>
      </c>
      <c r="L132" s="132" t="s">
        <v>89</v>
      </c>
    </row>
    <row r="133" spans="1:17">
      <c r="A133" s="47">
        <v>1</v>
      </c>
      <c r="B133" s="20" t="s">
        <v>93</v>
      </c>
      <c r="C133" s="48" t="s">
        <v>42</v>
      </c>
      <c r="D133" s="49">
        <f>H151*1.3</f>
        <v>5926.7</v>
      </c>
      <c r="E133" s="47" t="s">
        <v>15</v>
      </c>
      <c r="F133" s="103">
        <f>'[40]Agg Barat'!$C$21</f>
        <v>62842.857142857145</v>
      </c>
      <c r="G133" s="77"/>
      <c r="H133" s="77">
        <f>F133*D133</f>
        <v>372450761.4285714</v>
      </c>
      <c r="I133" s="50">
        <f>J111+1</f>
        <v>42190</v>
      </c>
      <c r="J133" s="50">
        <f>I133+29</f>
        <v>42219</v>
      </c>
      <c r="K133" s="51">
        <f>J133-I133+1</f>
        <v>30</v>
      </c>
      <c r="L133" s="169" t="s">
        <v>362</v>
      </c>
      <c r="M133">
        <v>200</v>
      </c>
      <c r="N133">
        <f>6486.5*1.3</f>
        <v>8432.4500000000007</v>
      </c>
      <c r="O133">
        <f>110000+175000</f>
        <v>285000</v>
      </c>
    </row>
    <row r="134" spans="1:17">
      <c r="A134" s="95">
        <v>2</v>
      </c>
      <c r="B134" s="171" t="s">
        <v>170</v>
      </c>
      <c r="C134" s="97" t="s">
        <v>2</v>
      </c>
      <c r="D134" s="98">
        <f>130*K132</f>
        <v>3900</v>
      </c>
      <c r="E134" s="95" t="s">
        <v>49</v>
      </c>
      <c r="F134" s="99">
        <v>9000</v>
      </c>
      <c r="G134" s="100">
        <f>F134*D134</f>
        <v>35100000</v>
      </c>
      <c r="H134" s="100"/>
      <c r="I134" s="101"/>
      <c r="J134" s="101"/>
      <c r="K134" s="102"/>
      <c r="L134" s="134"/>
      <c r="M134" s="82">
        <f>D133/M133</f>
        <v>29.633499999999998</v>
      </c>
      <c r="N134" t="s">
        <v>51</v>
      </c>
      <c r="O134" s="94">
        <f>O133/4</f>
        <v>71250</v>
      </c>
    </row>
    <row r="135" spans="1:17">
      <c r="A135" s="34">
        <v>3</v>
      </c>
      <c r="B135" s="16" t="s">
        <v>81</v>
      </c>
      <c r="C135" s="44" t="s">
        <v>2</v>
      </c>
      <c r="D135" s="31">
        <f>30*K132</f>
        <v>900</v>
      </c>
      <c r="E135" s="34" t="s">
        <v>49</v>
      </c>
      <c r="F135" s="17">
        <v>6900</v>
      </c>
      <c r="G135" s="74">
        <f>F135*D135</f>
        <v>6210000</v>
      </c>
      <c r="H135" s="74"/>
      <c r="I135" s="42"/>
      <c r="J135" s="42"/>
      <c r="K135" s="39"/>
      <c r="L135" s="527" t="s">
        <v>363</v>
      </c>
      <c r="M135" s="82">
        <f>M133/5</f>
        <v>40</v>
      </c>
      <c r="N135" t="s">
        <v>84</v>
      </c>
    </row>
    <row r="136" spans="1:17">
      <c r="A136" s="95">
        <v>4</v>
      </c>
      <c r="B136" s="96" t="s">
        <v>79</v>
      </c>
      <c r="C136" s="97" t="s">
        <v>3</v>
      </c>
      <c r="D136" s="98">
        <f>K132</f>
        <v>30</v>
      </c>
      <c r="E136" s="95" t="s">
        <v>51</v>
      </c>
      <c r="F136" s="99">
        <v>200000</v>
      </c>
      <c r="G136" s="100">
        <f>F136*D136</f>
        <v>6000000</v>
      </c>
      <c r="H136" s="100"/>
      <c r="I136" s="101"/>
      <c r="J136" s="101"/>
      <c r="K136" s="102"/>
      <c r="L136" s="134" t="s">
        <v>178</v>
      </c>
      <c r="M136" s="82">
        <f>M135/2.5</f>
        <v>16</v>
      </c>
      <c r="N136" t="s">
        <v>83</v>
      </c>
    </row>
    <row r="137" spans="1:17">
      <c r="A137" s="34">
        <v>5</v>
      </c>
      <c r="B137" s="16" t="s">
        <v>55</v>
      </c>
      <c r="C137" s="44" t="s">
        <v>53</v>
      </c>
      <c r="D137" s="31">
        <f>K132*8</f>
        <v>240</v>
      </c>
      <c r="E137" s="34" t="s">
        <v>54</v>
      </c>
      <c r="F137" s="17">
        <f>100000+150000</f>
        <v>250000</v>
      </c>
      <c r="G137" s="74"/>
      <c r="H137" s="74">
        <f>F137*D137</f>
        <v>60000000</v>
      </c>
      <c r="I137" s="42"/>
      <c r="J137" s="42"/>
      <c r="K137" s="39"/>
      <c r="L137" s="135" t="s">
        <v>179</v>
      </c>
    </row>
    <row r="138" spans="1:17">
      <c r="A138" s="95">
        <v>6</v>
      </c>
      <c r="B138" s="96" t="s">
        <v>122</v>
      </c>
      <c r="C138" s="97" t="s">
        <v>57</v>
      </c>
      <c r="D138" s="98">
        <f>K132</f>
        <v>30</v>
      </c>
      <c r="E138" s="95" t="s">
        <v>59</v>
      </c>
      <c r="F138" s="99">
        <v>100000</v>
      </c>
      <c r="G138" s="100"/>
      <c r="H138" s="100">
        <f t="shared" ref="H138" si="29">F138*D138</f>
        <v>3000000</v>
      </c>
      <c r="I138" s="101"/>
      <c r="J138" s="50"/>
      <c r="K138" s="51"/>
      <c r="L138" s="134"/>
      <c r="M138" s="170">
        <f>M134/7</f>
        <v>4.2333571428571428</v>
      </c>
      <c r="N138" s="173" t="s">
        <v>159</v>
      </c>
    </row>
    <row r="139" spans="1:17">
      <c r="A139" s="34">
        <v>7</v>
      </c>
      <c r="B139" s="16" t="s">
        <v>86</v>
      </c>
      <c r="C139" s="44" t="s">
        <v>57</v>
      </c>
      <c r="D139" s="31">
        <f>D138</f>
        <v>30</v>
      </c>
      <c r="E139" s="34" t="s">
        <v>59</v>
      </c>
      <c r="F139" s="17">
        <v>230000</v>
      </c>
      <c r="G139" s="74"/>
      <c r="H139" s="74">
        <f t="shared" ref="H139:H140" si="30">F139*D139</f>
        <v>6900000</v>
      </c>
      <c r="I139" s="42"/>
      <c r="J139" s="42"/>
      <c r="K139" s="39"/>
      <c r="L139" s="135"/>
      <c r="N139">
        <f>1500000/30</f>
        <v>50000</v>
      </c>
      <c r="O139">
        <v>100000</v>
      </c>
      <c r="P139">
        <v>80000</v>
      </c>
      <c r="Q139">
        <f>SUM(N139:P139)</f>
        <v>230000</v>
      </c>
    </row>
    <row r="140" spans="1:17">
      <c r="A140" s="95">
        <v>8</v>
      </c>
      <c r="B140" s="96" t="s">
        <v>58</v>
      </c>
      <c r="C140" s="97" t="s">
        <v>57</v>
      </c>
      <c r="D140" s="98">
        <f>D139</f>
        <v>30</v>
      </c>
      <c r="E140" s="95" t="s">
        <v>59</v>
      </c>
      <c r="F140" s="99">
        <v>120000</v>
      </c>
      <c r="G140" s="100"/>
      <c r="H140" s="100">
        <f t="shared" si="30"/>
        <v>3600000</v>
      </c>
      <c r="I140" s="101"/>
      <c r="J140" s="101"/>
      <c r="K140" s="102"/>
      <c r="L140" s="134"/>
      <c r="M140" s="170"/>
    </row>
    <row r="141" spans="1:17">
      <c r="A141" s="34">
        <v>9</v>
      </c>
      <c r="B141" s="168" t="s">
        <v>388</v>
      </c>
      <c r="C141" s="44" t="s">
        <v>57</v>
      </c>
      <c r="D141" s="31">
        <f>D140*2</f>
        <v>60</v>
      </c>
      <c r="E141" s="34" t="s">
        <v>59</v>
      </c>
      <c r="F141" s="17">
        <v>35000</v>
      </c>
      <c r="G141" s="74">
        <f>F141*D141</f>
        <v>2100000</v>
      </c>
      <c r="H141" s="74"/>
      <c r="I141" s="42"/>
      <c r="J141" s="42"/>
      <c r="K141" s="39"/>
      <c r="L141" s="135"/>
      <c r="M141" s="170"/>
    </row>
    <row r="142" spans="1:17">
      <c r="A142" s="95">
        <v>10</v>
      </c>
      <c r="B142" s="96" t="s">
        <v>76</v>
      </c>
      <c r="C142" s="97" t="s">
        <v>3</v>
      </c>
      <c r="D142" s="98">
        <f>K132</f>
        <v>30</v>
      </c>
      <c r="E142" s="95" t="s">
        <v>51</v>
      </c>
      <c r="F142" s="99">
        <v>300000</v>
      </c>
      <c r="G142" s="100">
        <f>F142*D142</f>
        <v>9000000</v>
      </c>
      <c r="H142" s="100"/>
      <c r="I142" s="101"/>
      <c r="J142" s="101"/>
      <c r="K142" s="102"/>
      <c r="L142" s="134"/>
    </row>
    <row r="143" spans="1:17">
      <c r="A143" s="34">
        <v>11</v>
      </c>
      <c r="B143" s="545" t="s">
        <v>471</v>
      </c>
      <c r="C143" s="121" t="s">
        <v>2</v>
      </c>
      <c r="D143" s="122">
        <f>705*K132</f>
        <v>21150</v>
      </c>
      <c r="E143" s="119" t="s">
        <v>49</v>
      </c>
      <c r="F143" s="123">
        <v>9000</v>
      </c>
      <c r="G143" s="124">
        <f>F143*D143</f>
        <v>190350000</v>
      </c>
      <c r="H143" s="74"/>
      <c r="I143" s="42"/>
      <c r="J143" s="42"/>
      <c r="K143" s="39"/>
      <c r="L143" s="135"/>
    </row>
    <row r="144" spans="1:17" s="297" customFormat="1">
      <c r="A144" s="197">
        <f>A143+1</f>
        <v>12</v>
      </c>
      <c r="B144" s="290" t="s">
        <v>186</v>
      </c>
      <c r="C144" s="197" t="s">
        <v>57</v>
      </c>
      <c r="D144" s="291">
        <f>K132*2</f>
        <v>60</v>
      </c>
      <c r="E144" s="197" t="s">
        <v>185</v>
      </c>
      <c r="F144" s="292">
        <v>75000</v>
      </c>
      <c r="G144" s="293">
        <f>D144*F144</f>
        <v>4500000</v>
      </c>
      <c r="H144" s="293"/>
      <c r="I144" s="294"/>
      <c r="J144" s="294"/>
      <c r="K144" s="295"/>
      <c r="L144" s="290"/>
      <c r="M144" s="296"/>
    </row>
    <row r="145" spans="1:15" s="307" customFormat="1">
      <c r="A145" s="284">
        <v>11</v>
      </c>
      <c r="B145" s="285" t="s">
        <v>313</v>
      </c>
      <c r="C145" s="284" t="s">
        <v>57</v>
      </c>
      <c r="D145" s="286">
        <f>K132</f>
        <v>30</v>
      </c>
      <c r="E145" s="284" t="s">
        <v>185</v>
      </c>
      <c r="F145" s="287">
        <v>200000</v>
      </c>
      <c r="G145" s="288">
        <f>D145*F145</f>
        <v>6000000</v>
      </c>
      <c r="H145" s="288"/>
      <c r="I145" s="526"/>
      <c r="J145" s="526"/>
      <c r="K145" s="289"/>
      <c r="L145" s="285"/>
      <c r="M145" s="306"/>
    </row>
    <row r="146" spans="1:15">
      <c r="A146" s="104"/>
      <c r="B146" s="177"/>
      <c r="C146" s="105"/>
      <c r="D146" s="106"/>
      <c r="E146" s="104"/>
      <c r="F146" s="107"/>
      <c r="G146" s="108"/>
      <c r="H146" s="100"/>
      <c r="I146" s="109"/>
      <c r="J146" s="109"/>
      <c r="K146" s="110"/>
      <c r="L146" s="134"/>
    </row>
    <row r="147" spans="1:15">
      <c r="A147" s="34"/>
      <c r="B147" s="168"/>
      <c r="C147" s="44"/>
      <c r="D147" s="31"/>
      <c r="E147" s="34"/>
      <c r="F147" s="17"/>
      <c r="G147" s="74"/>
      <c r="H147" s="74"/>
      <c r="I147" s="34"/>
      <c r="J147" s="34"/>
      <c r="K147" s="39"/>
      <c r="L147" s="135"/>
    </row>
    <row r="148" spans="1:15">
      <c r="A148" s="111"/>
      <c r="B148" s="179"/>
      <c r="C148" s="113"/>
      <c r="D148" s="114"/>
      <c r="E148" s="111"/>
      <c r="F148" s="115"/>
      <c r="G148" s="116"/>
      <c r="H148" s="116"/>
      <c r="I148" s="117"/>
      <c r="J148" s="117"/>
      <c r="K148" s="118"/>
      <c r="L148" s="139"/>
    </row>
    <row r="149" spans="1:15">
      <c r="A149" s="60"/>
      <c r="B149" s="61"/>
      <c r="C149" s="62"/>
      <c r="D149" s="63"/>
      <c r="E149" s="64"/>
      <c r="F149" s="69" t="s">
        <v>10</v>
      </c>
      <c r="G149" s="75">
        <f>SUM(G133:G148)</f>
        <v>259260000</v>
      </c>
      <c r="H149" s="75">
        <f>SUM(H133:H148)</f>
        <v>445950761.4285714</v>
      </c>
      <c r="I149" s="65"/>
      <c r="J149" s="65"/>
      <c r="K149" s="66"/>
      <c r="L149" s="136"/>
    </row>
    <row r="150" spans="1:15">
      <c r="A150" s="60"/>
      <c r="B150" s="61"/>
      <c r="C150" s="62"/>
      <c r="D150" s="63"/>
      <c r="E150" s="64"/>
      <c r="F150" s="70" t="s">
        <v>73</v>
      </c>
      <c r="G150" s="76"/>
      <c r="H150" s="75">
        <f>H149+G149</f>
        <v>705210761.42857146</v>
      </c>
      <c r="I150" s="65"/>
      <c r="J150" s="65"/>
      <c r="K150" s="66"/>
      <c r="L150" s="136"/>
    </row>
    <row r="151" spans="1:15">
      <c r="A151" s="60"/>
      <c r="B151" s="61"/>
      <c r="C151" s="62"/>
      <c r="D151" s="63"/>
      <c r="E151" s="64"/>
      <c r="F151" s="70" t="s">
        <v>297</v>
      </c>
      <c r="G151" s="78"/>
      <c r="H151" s="71">
        <v>4559</v>
      </c>
      <c r="I151" s="65" t="s">
        <v>15</v>
      </c>
      <c r="J151" s="65"/>
      <c r="K151" s="66"/>
      <c r="L151" s="136"/>
      <c r="M151" s="195">
        <f>G149/K132</f>
        <v>8642000</v>
      </c>
    </row>
    <row r="152" spans="1:15">
      <c r="A152" s="60"/>
      <c r="B152" s="61"/>
      <c r="C152" s="62"/>
      <c r="D152" s="63"/>
      <c r="E152" s="64"/>
      <c r="F152" s="70" t="s">
        <v>74</v>
      </c>
      <c r="G152" s="76"/>
      <c r="H152" s="75">
        <f>H150/H151</f>
        <v>154685.40500736379</v>
      </c>
      <c r="I152" s="65" t="s">
        <v>75</v>
      </c>
      <c r="J152" s="65"/>
      <c r="K152" s="66"/>
      <c r="L152" s="136"/>
    </row>
    <row r="154" spans="1:15" s="26" customFormat="1">
      <c r="A154" s="83" t="s">
        <v>121</v>
      </c>
      <c r="B154" s="84" t="s">
        <v>106</v>
      </c>
      <c r="C154" s="85"/>
      <c r="D154" s="86"/>
      <c r="E154" s="87"/>
      <c r="F154" s="88"/>
      <c r="G154" s="89"/>
      <c r="H154" s="89"/>
      <c r="I154" s="90">
        <f>MIN(I155:I164)</f>
        <v>42235</v>
      </c>
      <c r="J154" s="91">
        <f>MAX(J155:J164)</f>
        <v>42247</v>
      </c>
      <c r="K154" s="92">
        <f>K155</f>
        <v>13</v>
      </c>
      <c r="L154" s="132" t="s">
        <v>94</v>
      </c>
    </row>
    <row r="155" spans="1:15">
      <c r="A155" s="389">
        <v>1</v>
      </c>
      <c r="B155" s="505" t="s">
        <v>107</v>
      </c>
      <c r="C155" s="201" t="s">
        <v>42</v>
      </c>
      <c r="D155" s="391">
        <f>H168</f>
        <v>2485.06</v>
      </c>
      <c r="E155" s="389" t="s">
        <v>92</v>
      </c>
      <c r="F155" s="506">
        <f>'[40]Harga Dasar Barat'!$J$73</f>
        <v>779307.24867724872</v>
      </c>
      <c r="G155" s="393"/>
      <c r="H155" s="393">
        <f>F155*D155</f>
        <v>1936625271.3978837</v>
      </c>
      <c r="I155" s="394">
        <v>42235</v>
      </c>
      <c r="J155" s="394">
        <f>I155+12</f>
        <v>42247</v>
      </c>
      <c r="K155" s="51">
        <f>J155-I155+1</f>
        <v>13</v>
      </c>
      <c r="L155" s="396" t="s">
        <v>104</v>
      </c>
      <c r="M155">
        <v>200</v>
      </c>
      <c r="N155">
        <v>2900</v>
      </c>
      <c r="O155" t="s">
        <v>92</v>
      </c>
    </row>
    <row r="156" spans="1:15">
      <c r="A156" s="95">
        <v>2</v>
      </c>
      <c r="B156" s="171" t="s">
        <v>95</v>
      </c>
      <c r="C156" s="97" t="s">
        <v>2</v>
      </c>
      <c r="D156" s="98">
        <f>200*K154</f>
        <v>2600</v>
      </c>
      <c r="E156" s="95" t="s">
        <v>49</v>
      </c>
      <c r="F156" s="99">
        <v>9000</v>
      </c>
      <c r="G156" s="100">
        <f>F156*D156</f>
        <v>23400000</v>
      </c>
      <c r="H156" s="100"/>
      <c r="I156" s="101"/>
      <c r="J156" s="101"/>
      <c r="K156" s="102"/>
      <c r="L156" s="134"/>
      <c r="M156" s="82">
        <f>D155/M155</f>
        <v>12.4253</v>
      </c>
      <c r="N156" t="s">
        <v>51</v>
      </c>
      <c r="O156" s="94"/>
    </row>
    <row r="157" spans="1:15" s="128" customFormat="1">
      <c r="A157" s="119">
        <v>3</v>
      </c>
      <c r="B157" s="176" t="s">
        <v>102</v>
      </c>
      <c r="C157" s="121" t="s">
        <v>3</v>
      </c>
      <c r="D157" s="122">
        <f>10*K154</f>
        <v>130</v>
      </c>
      <c r="E157" s="119" t="s">
        <v>59</v>
      </c>
      <c r="F157" s="123">
        <v>30000</v>
      </c>
      <c r="G157" s="124">
        <f>F157*D157</f>
        <v>3900000</v>
      </c>
      <c r="H157" s="124"/>
      <c r="I157" s="125"/>
      <c r="J157" s="125"/>
      <c r="K157" s="126"/>
      <c r="L157" s="140" t="s">
        <v>103</v>
      </c>
      <c r="M157" s="127"/>
      <c r="O157" s="129"/>
    </row>
    <row r="158" spans="1:15">
      <c r="A158" s="95">
        <v>4</v>
      </c>
      <c r="B158" s="171" t="s">
        <v>79</v>
      </c>
      <c r="C158" s="97" t="s">
        <v>3</v>
      </c>
      <c r="D158" s="98">
        <f>K154</f>
        <v>13</v>
      </c>
      <c r="E158" s="95" t="s">
        <v>51</v>
      </c>
      <c r="F158" s="99">
        <v>200000</v>
      </c>
      <c r="G158" s="100">
        <f>F158*D158</f>
        <v>2600000</v>
      </c>
      <c r="H158" s="100"/>
      <c r="I158" s="101"/>
      <c r="J158" s="101"/>
      <c r="K158" s="102"/>
      <c r="L158" s="134"/>
      <c r="M158" s="82">
        <f>M155/5</f>
        <v>40</v>
      </c>
      <c r="N158" t="s">
        <v>101</v>
      </c>
    </row>
    <row r="159" spans="1:15">
      <c r="A159" s="119">
        <v>5</v>
      </c>
      <c r="B159" s="120" t="s">
        <v>96</v>
      </c>
      <c r="C159" s="121" t="s">
        <v>53</v>
      </c>
      <c r="D159" s="122">
        <f>K154</f>
        <v>13</v>
      </c>
      <c r="E159" s="119" t="s">
        <v>51</v>
      </c>
      <c r="F159" s="123">
        <v>4000000</v>
      </c>
      <c r="G159" s="124"/>
      <c r="H159" s="124">
        <f>F159*D159</f>
        <v>52000000</v>
      </c>
      <c r="I159" s="125"/>
      <c r="J159" s="125"/>
      <c r="K159" s="126"/>
      <c r="L159" s="140"/>
      <c r="M159" s="82">
        <f>M158/2</f>
        <v>20</v>
      </c>
      <c r="N159" t="s">
        <v>100</v>
      </c>
    </row>
    <row r="160" spans="1:15">
      <c r="A160" s="95">
        <v>6</v>
      </c>
      <c r="B160" s="96" t="s">
        <v>97</v>
      </c>
      <c r="C160" s="97" t="s">
        <v>57</v>
      </c>
      <c r="D160" s="98">
        <f>K154*3</f>
        <v>39</v>
      </c>
      <c r="E160" s="95" t="s">
        <v>59</v>
      </c>
      <c r="F160" s="99">
        <v>120000</v>
      </c>
      <c r="G160" s="100"/>
      <c r="H160" s="100">
        <f t="shared" ref="H160:H161" si="31">F160*D160</f>
        <v>4680000</v>
      </c>
      <c r="I160" s="101"/>
      <c r="J160" s="101"/>
      <c r="K160" s="102"/>
      <c r="L160" s="134"/>
    </row>
    <row r="161" spans="1:17">
      <c r="A161" s="119">
        <v>7</v>
      </c>
      <c r="B161" s="120" t="s">
        <v>98</v>
      </c>
      <c r="C161" s="121" t="s">
        <v>57</v>
      </c>
      <c r="D161" s="122">
        <f>K154</f>
        <v>13</v>
      </c>
      <c r="E161" s="119" t="s">
        <v>59</v>
      </c>
      <c r="F161" s="123">
        <v>150000</v>
      </c>
      <c r="G161" s="124"/>
      <c r="H161" s="124">
        <f t="shared" si="31"/>
        <v>1950000</v>
      </c>
      <c r="I161" s="125"/>
      <c r="J161" s="125"/>
      <c r="K161" s="126"/>
      <c r="L161" s="140"/>
      <c r="M161" s="170">
        <f>M156/7</f>
        <v>1.7750428571428571</v>
      </c>
      <c r="N161">
        <f>2500000/30</f>
        <v>83333.333333333328</v>
      </c>
      <c r="O161">
        <v>50000</v>
      </c>
      <c r="Q161">
        <f>SUM(N161:P161)</f>
        <v>133333.33333333331</v>
      </c>
    </row>
    <row r="162" spans="1:17">
      <c r="A162" s="95">
        <v>8</v>
      </c>
      <c r="B162" s="171" t="s">
        <v>99</v>
      </c>
      <c r="C162" s="97" t="s">
        <v>57</v>
      </c>
      <c r="D162" s="98">
        <f>K154*4</f>
        <v>52</v>
      </c>
      <c r="E162" s="95" t="s">
        <v>59</v>
      </c>
      <c r="F162" s="99">
        <v>35000</v>
      </c>
      <c r="G162" s="100">
        <f>F162*D162</f>
        <v>1820000</v>
      </c>
      <c r="H162" s="100"/>
      <c r="I162" s="101"/>
      <c r="J162" s="101"/>
      <c r="K162" s="102"/>
      <c r="L162" s="134"/>
    </row>
    <row r="163" spans="1:17">
      <c r="A163" s="119">
        <v>9</v>
      </c>
      <c r="B163" s="176" t="s">
        <v>171</v>
      </c>
      <c r="C163" s="121" t="s">
        <v>3</v>
      </c>
      <c r="D163" s="122">
        <f>K154</f>
        <v>13</v>
      </c>
      <c r="E163" s="119" t="s">
        <v>51</v>
      </c>
      <c r="F163" s="123">
        <v>1000000</v>
      </c>
      <c r="G163" s="124">
        <f>F163*D163</f>
        <v>13000000</v>
      </c>
      <c r="H163" s="124"/>
      <c r="I163" s="125"/>
      <c r="J163" s="125"/>
      <c r="K163" s="126"/>
      <c r="L163" s="140"/>
    </row>
    <row r="164" spans="1:17">
      <c r="A164" s="95">
        <v>11</v>
      </c>
      <c r="B164" s="545" t="s">
        <v>473</v>
      </c>
      <c r="C164" s="121" t="s">
        <v>2</v>
      </c>
      <c r="D164" s="122">
        <f>360*K154</f>
        <v>4680</v>
      </c>
      <c r="E164" s="119" t="s">
        <v>49</v>
      </c>
      <c r="F164" s="123">
        <v>9000</v>
      </c>
      <c r="G164" s="124">
        <f>F164*D164</f>
        <v>42120000</v>
      </c>
      <c r="H164" s="100"/>
      <c r="I164" s="101"/>
      <c r="J164" s="101"/>
      <c r="K164" s="102"/>
      <c r="L164" s="134"/>
      <c r="M164" s="170">
        <f>H168/17</f>
        <v>146.18</v>
      </c>
    </row>
    <row r="165" spans="1:17" s="297" customFormat="1">
      <c r="A165" s="197">
        <f>A164+1</f>
        <v>12</v>
      </c>
      <c r="B165" s="290" t="s">
        <v>186</v>
      </c>
      <c r="C165" s="197" t="s">
        <v>57</v>
      </c>
      <c r="D165" s="291">
        <f>K154*2</f>
        <v>26</v>
      </c>
      <c r="E165" s="197" t="s">
        <v>185</v>
      </c>
      <c r="F165" s="292">
        <v>75000</v>
      </c>
      <c r="G165" s="293">
        <f>D165*F165</f>
        <v>1950000</v>
      </c>
      <c r="H165" s="293"/>
      <c r="I165" s="294"/>
      <c r="J165" s="294"/>
      <c r="K165" s="295"/>
      <c r="L165" s="290"/>
      <c r="M165" s="296">
        <f>M164/10</f>
        <v>14.618</v>
      </c>
    </row>
    <row r="166" spans="1:17">
      <c r="A166" s="60"/>
      <c r="B166" s="61"/>
      <c r="C166" s="62"/>
      <c r="D166" s="63"/>
      <c r="E166" s="64"/>
      <c r="F166" s="69" t="s">
        <v>10</v>
      </c>
      <c r="G166" s="75">
        <f>SUM(G155:G165)</f>
        <v>88790000</v>
      </c>
      <c r="H166" s="75">
        <f>SUM(H155:H164)</f>
        <v>1995255271.3978837</v>
      </c>
      <c r="I166" s="65"/>
      <c r="J166" s="65"/>
      <c r="K166" s="66"/>
      <c r="L166" s="136"/>
      <c r="M166" s="170">
        <f>M165/9</f>
        <v>1.6242222222222222</v>
      </c>
    </row>
    <row r="167" spans="1:17">
      <c r="A167" s="60"/>
      <c r="B167" s="61"/>
      <c r="C167" s="62"/>
      <c r="D167" s="63"/>
      <c r="E167" s="64"/>
      <c r="F167" s="70" t="s">
        <v>73</v>
      </c>
      <c r="G167" s="76"/>
      <c r="H167" s="75">
        <f>H166+G166</f>
        <v>2084045271.3978837</v>
      </c>
      <c r="I167" s="65"/>
      <c r="J167" s="65"/>
      <c r="K167" s="66"/>
      <c r="L167" s="136"/>
      <c r="M167">
        <f>30*12</f>
        <v>360</v>
      </c>
    </row>
    <row r="168" spans="1:17">
      <c r="A168" s="60"/>
      <c r="B168" s="61"/>
      <c r="C168" s="62"/>
      <c r="D168" s="63"/>
      <c r="E168" s="64"/>
      <c r="F168" s="70" t="s">
        <v>297</v>
      </c>
      <c r="G168" s="78"/>
      <c r="H168" s="71">
        <v>2485.06</v>
      </c>
      <c r="I168" s="65" t="s">
        <v>92</v>
      </c>
      <c r="J168" s="65"/>
      <c r="K168" s="66"/>
      <c r="L168" s="136"/>
    </row>
    <row r="169" spans="1:17">
      <c r="A169" s="60"/>
      <c r="B169" s="61"/>
      <c r="C169" s="62"/>
      <c r="D169" s="63"/>
      <c r="E169" s="64"/>
      <c r="F169" s="70" t="s">
        <v>123</v>
      </c>
      <c r="G169" s="76"/>
      <c r="H169" s="75">
        <f>H167/H168</f>
        <v>838629.760004943</v>
      </c>
      <c r="I169" s="65" t="s">
        <v>105</v>
      </c>
      <c r="J169" s="65"/>
      <c r="K169" s="66"/>
      <c r="L169" s="136"/>
      <c r="M169" s="6">
        <f>G166/K154</f>
        <v>6830000</v>
      </c>
    </row>
    <row r="171" spans="1:17" s="26" customFormat="1">
      <c r="A171" s="83" t="s">
        <v>160</v>
      </c>
      <c r="B171" s="84" t="s">
        <v>109</v>
      </c>
      <c r="C171" s="85"/>
      <c r="D171" s="86"/>
      <c r="E171" s="87"/>
      <c r="F171" s="88"/>
      <c r="G171" s="89"/>
      <c r="H171" s="89"/>
      <c r="I171" s="90">
        <f>MIN(I172:I178)</f>
        <v>42235</v>
      </c>
      <c r="J171" s="91">
        <f>MAX(J172:J177)</f>
        <v>42247</v>
      </c>
      <c r="K171" s="92">
        <f>K172</f>
        <v>13</v>
      </c>
      <c r="L171" s="132" t="s">
        <v>94</v>
      </c>
    </row>
    <row r="172" spans="1:17">
      <c r="A172" s="47">
        <v>1</v>
      </c>
      <c r="B172" s="20" t="s">
        <v>110</v>
      </c>
      <c r="C172" s="48" t="s">
        <v>42</v>
      </c>
      <c r="D172" s="49">
        <f>H182</f>
        <v>24007.5</v>
      </c>
      <c r="E172" s="47" t="s">
        <v>49</v>
      </c>
      <c r="F172" s="103">
        <v>8500</v>
      </c>
      <c r="G172" s="77"/>
      <c r="H172" s="77">
        <f>F172*D172</f>
        <v>204063750</v>
      </c>
      <c r="I172" s="50">
        <f>I155</f>
        <v>42235</v>
      </c>
      <c r="J172" s="50">
        <f>J155</f>
        <v>42247</v>
      </c>
      <c r="K172" s="51">
        <f>J172-I172+1</f>
        <v>13</v>
      </c>
      <c r="L172" s="133"/>
      <c r="M172">
        <v>200</v>
      </c>
      <c r="N172">
        <f>31531+9459</f>
        <v>40990</v>
      </c>
      <c r="O172" t="s">
        <v>92</v>
      </c>
    </row>
    <row r="173" spans="1:17">
      <c r="A173" s="95">
        <v>2</v>
      </c>
      <c r="B173" s="96" t="s">
        <v>111</v>
      </c>
      <c r="C173" s="97" t="s">
        <v>53</v>
      </c>
      <c r="D173" s="98">
        <f>K171</f>
        <v>13</v>
      </c>
      <c r="E173" s="95" t="s">
        <v>51</v>
      </c>
      <c r="F173" s="99">
        <v>500000</v>
      </c>
      <c r="G173" s="100"/>
      <c r="H173" s="100">
        <f>F173*D173</f>
        <v>6500000</v>
      </c>
      <c r="I173" s="101"/>
      <c r="J173" s="101"/>
      <c r="K173" s="102"/>
      <c r="L173" s="134"/>
      <c r="M173" s="82">
        <f>D172/M172</f>
        <v>120.03749999999999</v>
      </c>
      <c r="N173" t="s">
        <v>51</v>
      </c>
      <c r="O173" s="94"/>
    </row>
    <row r="174" spans="1:17" s="128" customFormat="1">
      <c r="A174" s="119">
        <v>3</v>
      </c>
      <c r="B174" s="120" t="s">
        <v>112</v>
      </c>
      <c r="C174" s="121" t="s">
        <v>57</v>
      </c>
      <c r="D174" s="122">
        <f>K171</f>
        <v>13</v>
      </c>
      <c r="E174" s="119" t="s">
        <v>59</v>
      </c>
      <c r="F174" s="123">
        <v>220000</v>
      </c>
      <c r="G174" s="124"/>
      <c r="H174" s="124">
        <f>F174*D174</f>
        <v>2860000</v>
      </c>
      <c r="I174" s="125"/>
      <c r="J174" s="125"/>
      <c r="K174" s="126"/>
      <c r="L174" s="140"/>
      <c r="M174" s="127"/>
      <c r="O174" s="129"/>
    </row>
    <row r="175" spans="1:17">
      <c r="A175" s="95">
        <v>4</v>
      </c>
      <c r="B175" s="171" t="s">
        <v>113</v>
      </c>
      <c r="C175" s="97" t="s">
        <v>42</v>
      </c>
      <c r="D175" s="98">
        <f>35*K171</f>
        <v>455</v>
      </c>
      <c r="E175" s="95" t="s">
        <v>49</v>
      </c>
      <c r="F175" s="99">
        <v>14000</v>
      </c>
      <c r="G175" s="100">
        <f>F175*D175</f>
        <v>6370000</v>
      </c>
      <c r="H175" s="100"/>
      <c r="I175" s="101"/>
      <c r="J175" s="101"/>
      <c r="K175" s="102"/>
      <c r="L175" s="134"/>
      <c r="M175" s="82">
        <f>M172/20</f>
        <v>10</v>
      </c>
      <c r="N175" t="s">
        <v>101</v>
      </c>
    </row>
    <row r="176" spans="1:17">
      <c r="A176" s="34">
        <v>5</v>
      </c>
      <c r="B176" s="168" t="s">
        <v>114</v>
      </c>
      <c r="C176" s="44" t="s">
        <v>2</v>
      </c>
      <c r="D176" s="31">
        <f>30*K171</f>
        <v>390</v>
      </c>
      <c r="E176" s="34" t="s">
        <v>49</v>
      </c>
      <c r="F176" s="17">
        <v>6900</v>
      </c>
      <c r="G176" s="74">
        <f>F176*D176</f>
        <v>2691000</v>
      </c>
      <c r="H176" s="74"/>
      <c r="I176" s="42"/>
      <c r="J176" s="42"/>
      <c r="K176" s="39"/>
      <c r="L176" s="135"/>
      <c r="M176" s="82">
        <f>M175/2</f>
        <v>5</v>
      </c>
      <c r="N176" t="s">
        <v>100</v>
      </c>
    </row>
    <row r="177" spans="1:17">
      <c r="A177" s="95">
        <v>6</v>
      </c>
      <c r="B177" s="171" t="s">
        <v>115</v>
      </c>
      <c r="C177" s="97" t="s">
        <v>57</v>
      </c>
      <c r="D177" s="98">
        <f>2*K171</f>
        <v>26</v>
      </c>
      <c r="E177" s="95" t="s">
        <v>59</v>
      </c>
      <c r="F177" s="99">
        <v>35000</v>
      </c>
      <c r="G177" s="100">
        <f>F177*D177</f>
        <v>910000</v>
      </c>
      <c r="H177" s="100"/>
      <c r="I177" s="101"/>
      <c r="J177" s="101"/>
      <c r="K177" s="102"/>
      <c r="L177" s="134"/>
      <c r="M177" s="170">
        <f>G180/11</f>
        <v>906454.54545454541</v>
      </c>
    </row>
    <row r="178" spans="1:17">
      <c r="A178" s="34">
        <v>7</v>
      </c>
      <c r="B178" s="16"/>
      <c r="C178" s="44"/>
      <c r="D178" s="31"/>
      <c r="E178" s="34"/>
      <c r="F178" s="17"/>
      <c r="G178" s="74"/>
      <c r="H178" s="74"/>
      <c r="I178" s="34"/>
      <c r="J178" s="34"/>
      <c r="K178" s="39"/>
      <c r="L178" s="135"/>
    </row>
    <row r="179" spans="1:17">
      <c r="A179" s="111">
        <v>8</v>
      </c>
      <c r="B179" s="112"/>
      <c r="C179" s="113"/>
      <c r="D179" s="114"/>
      <c r="E179" s="111"/>
      <c r="F179" s="115"/>
      <c r="G179" s="116"/>
      <c r="H179" s="116"/>
      <c r="I179" s="117"/>
      <c r="J179" s="117"/>
      <c r="K179" s="118"/>
      <c r="L179" s="139"/>
      <c r="N179">
        <f>800000/30</f>
        <v>26666.666666666668</v>
      </c>
      <c r="O179">
        <v>40000</v>
      </c>
      <c r="P179">
        <v>45000</v>
      </c>
      <c r="Q179">
        <f>SUM(N179:P179)</f>
        <v>111666.66666666667</v>
      </c>
    </row>
    <row r="180" spans="1:17">
      <c r="A180" s="60"/>
      <c r="B180" s="61"/>
      <c r="C180" s="62"/>
      <c r="D180" s="63"/>
      <c r="E180" s="64"/>
      <c r="F180" s="69" t="s">
        <v>10</v>
      </c>
      <c r="G180" s="75">
        <f>SUM(G172:G179)</f>
        <v>9971000</v>
      </c>
      <c r="H180" s="75">
        <f>SUM(H172:H179)</f>
        <v>213423750</v>
      </c>
      <c r="I180" s="65"/>
      <c r="J180" s="65"/>
      <c r="K180" s="66"/>
      <c r="L180" s="136"/>
    </row>
    <row r="181" spans="1:17">
      <c r="A181" s="60"/>
      <c r="B181" s="61"/>
      <c r="C181" s="62"/>
      <c r="D181" s="63"/>
      <c r="E181" s="64"/>
      <c r="F181" s="70" t="s">
        <v>73</v>
      </c>
      <c r="G181" s="76"/>
      <c r="H181" s="75">
        <f>H180+G180</f>
        <v>223394750</v>
      </c>
      <c r="I181" s="65"/>
      <c r="J181" s="65"/>
      <c r="K181" s="66"/>
      <c r="L181" s="136"/>
    </row>
    <row r="182" spans="1:17">
      <c r="A182" s="60"/>
      <c r="B182" s="61"/>
      <c r="C182" s="62"/>
      <c r="D182" s="63"/>
      <c r="E182" s="64"/>
      <c r="F182" s="70" t="s">
        <v>297</v>
      </c>
      <c r="G182" s="78"/>
      <c r="H182" s="71">
        <v>24007.5</v>
      </c>
      <c r="I182" s="65" t="s">
        <v>49</v>
      </c>
      <c r="J182" s="65"/>
      <c r="K182" s="66"/>
      <c r="L182" s="136"/>
      <c r="M182" s="195"/>
    </row>
    <row r="183" spans="1:17">
      <c r="A183" s="60"/>
      <c r="B183" s="61"/>
      <c r="C183" s="196"/>
      <c r="D183" s="63"/>
      <c r="E183" s="64"/>
      <c r="F183" s="70" t="s">
        <v>120</v>
      </c>
      <c r="G183" s="76"/>
      <c r="H183" s="75">
        <f>H181/H182</f>
        <v>9305.2067062376336</v>
      </c>
      <c r="I183" s="65" t="s">
        <v>49</v>
      </c>
      <c r="J183" s="65"/>
      <c r="K183" s="66"/>
      <c r="L183" s="136"/>
      <c r="M183" s="195"/>
    </row>
    <row r="184" spans="1:17">
      <c r="M184" s="195"/>
    </row>
    <row r="185" spans="1:17" s="26" customFormat="1">
      <c r="A185" s="83" t="s">
        <v>161</v>
      </c>
      <c r="B185" s="84" t="s">
        <v>157</v>
      </c>
      <c r="C185" s="85"/>
      <c r="D185" s="86"/>
      <c r="E185" s="87"/>
      <c r="F185" s="88"/>
      <c r="G185" s="89"/>
      <c r="H185" s="89"/>
      <c r="I185" s="90">
        <f>MIN(I186:I198)</f>
        <v>42258</v>
      </c>
      <c r="J185" s="91">
        <f>MAX(J186:J191)</f>
        <v>42273</v>
      </c>
      <c r="K185" s="92">
        <f>K186</f>
        <v>16</v>
      </c>
      <c r="L185" s="132" t="s">
        <v>89</v>
      </c>
    </row>
    <row r="186" spans="1:17">
      <c r="A186" s="47">
        <v>1</v>
      </c>
      <c r="B186" s="167" t="s">
        <v>158</v>
      </c>
      <c r="C186" s="48" t="s">
        <v>42</v>
      </c>
      <c r="D186" s="49">
        <f>H204*1.3</f>
        <v>3198</v>
      </c>
      <c r="E186" s="47" t="s">
        <v>15</v>
      </c>
      <c r="F186" s="103">
        <f>'[40]Agg Barat'!$C$21</f>
        <v>62842.857142857145</v>
      </c>
      <c r="G186" s="77"/>
      <c r="H186" s="77">
        <f>F186*D186</f>
        <v>200971457.14285716</v>
      </c>
      <c r="I186" s="50">
        <f>J96+1</f>
        <v>42258</v>
      </c>
      <c r="J186" s="50">
        <f>I186+15</f>
        <v>42273</v>
      </c>
      <c r="K186" s="51">
        <f>J186-I186+1</f>
        <v>16</v>
      </c>
      <c r="L186" s="169" t="s">
        <v>366</v>
      </c>
      <c r="M186">
        <v>200</v>
      </c>
      <c r="N186">
        <f>6486.5*1.3</f>
        <v>8432.4500000000007</v>
      </c>
      <c r="O186">
        <f>110000+175000</f>
        <v>285000</v>
      </c>
    </row>
    <row r="187" spans="1:17">
      <c r="A187" s="95">
        <v>2</v>
      </c>
      <c r="B187" s="171" t="s">
        <v>170</v>
      </c>
      <c r="C187" s="97" t="s">
        <v>2</v>
      </c>
      <c r="D187" s="98">
        <f>130*K185</f>
        <v>2080</v>
      </c>
      <c r="E187" s="95" t="s">
        <v>49</v>
      </c>
      <c r="F187" s="99">
        <v>9000</v>
      </c>
      <c r="G187" s="100">
        <f>F187*D187</f>
        <v>18720000</v>
      </c>
      <c r="H187" s="100"/>
      <c r="I187" s="101"/>
      <c r="J187" s="101"/>
      <c r="K187" s="102"/>
      <c r="L187" s="134"/>
      <c r="M187" s="82">
        <f>D186/M186</f>
        <v>15.99</v>
      </c>
      <c r="N187" t="s">
        <v>51</v>
      </c>
      <c r="O187" s="94">
        <f>O186/4</f>
        <v>71250</v>
      </c>
    </row>
    <row r="188" spans="1:17">
      <c r="A188" s="34">
        <v>3</v>
      </c>
      <c r="B188" s="16" t="s">
        <v>81</v>
      </c>
      <c r="C188" s="44" t="s">
        <v>2</v>
      </c>
      <c r="D188" s="31">
        <f>30*K185</f>
        <v>480</v>
      </c>
      <c r="E188" s="34" t="s">
        <v>49</v>
      </c>
      <c r="F188" s="17">
        <v>6900</v>
      </c>
      <c r="G188" s="74">
        <f>F188*D188</f>
        <v>3312000</v>
      </c>
      <c r="H188" s="74"/>
      <c r="I188" s="42"/>
      <c r="J188" s="42"/>
      <c r="K188" s="39"/>
      <c r="L188" s="135"/>
      <c r="M188" s="82">
        <f>M186/5</f>
        <v>40</v>
      </c>
      <c r="N188" t="s">
        <v>84</v>
      </c>
    </row>
    <row r="189" spans="1:17">
      <c r="A189" s="95">
        <v>4</v>
      </c>
      <c r="B189" s="96" t="s">
        <v>79</v>
      </c>
      <c r="C189" s="97" t="s">
        <v>3</v>
      </c>
      <c r="D189" s="98">
        <f>K185</f>
        <v>16</v>
      </c>
      <c r="E189" s="95" t="s">
        <v>51</v>
      </c>
      <c r="F189" s="99">
        <v>200000</v>
      </c>
      <c r="G189" s="100">
        <f>F189*D189</f>
        <v>3200000</v>
      </c>
      <c r="H189" s="100"/>
      <c r="I189" s="101"/>
      <c r="J189" s="101"/>
      <c r="K189" s="102"/>
      <c r="L189" s="134"/>
      <c r="M189" s="82">
        <f>M188/2.5</f>
        <v>16</v>
      </c>
      <c r="N189" t="s">
        <v>83</v>
      </c>
    </row>
    <row r="190" spans="1:17">
      <c r="A190" s="34">
        <v>5</v>
      </c>
      <c r="B190" s="16" t="s">
        <v>55</v>
      </c>
      <c r="C190" s="44" t="s">
        <v>53</v>
      </c>
      <c r="D190" s="31">
        <f>K185*8</f>
        <v>128</v>
      </c>
      <c r="E190" s="34" t="s">
        <v>54</v>
      </c>
      <c r="F190" s="17">
        <f>100000+150000</f>
        <v>250000</v>
      </c>
      <c r="G190" s="74"/>
      <c r="H190" s="74">
        <f>F190*D190</f>
        <v>32000000</v>
      </c>
      <c r="I190" s="42"/>
      <c r="J190" s="42"/>
      <c r="K190" s="39"/>
      <c r="L190" s="135"/>
    </row>
    <row r="191" spans="1:17">
      <c r="A191" s="95">
        <v>6</v>
      </c>
      <c r="B191" s="96" t="s">
        <v>122</v>
      </c>
      <c r="C191" s="97" t="s">
        <v>57</v>
      </c>
      <c r="D191" s="98">
        <f>K185</f>
        <v>16</v>
      </c>
      <c r="E191" s="95" t="s">
        <v>59</v>
      </c>
      <c r="F191" s="99">
        <v>100000</v>
      </c>
      <c r="G191" s="100"/>
      <c r="H191" s="100">
        <f t="shared" ref="H191:H193" si="32">F191*D191</f>
        <v>1600000</v>
      </c>
      <c r="I191" s="101"/>
      <c r="J191" s="101"/>
      <c r="K191" s="102"/>
      <c r="L191" s="134"/>
    </row>
    <row r="192" spans="1:17">
      <c r="A192" s="34">
        <v>7</v>
      </c>
      <c r="B192" s="16" t="s">
        <v>86</v>
      </c>
      <c r="C192" s="44" t="s">
        <v>57</v>
      </c>
      <c r="D192" s="31">
        <f>D191</f>
        <v>16</v>
      </c>
      <c r="E192" s="34" t="s">
        <v>59</v>
      </c>
      <c r="F192" s="17">
        <v>230000</v>
      </c>
      <c r="G192" s="74"/>
      <c r="H192" s="74">
        <f t="shared" si="32"/>
        <v>3680000</v>
      </c>
      <c r="I192" s="42"/>
      <c r="J192" s="42"/>
      <c r="K192" s="39"/>
      <c r="L192" s="135"/>
      <c r="M192">
        <f>0.5*27*2</f>
        <v>27</v>
      </c>
    </row>
    <row r="193" spans="1:15">
      <c r="A193" s="95">
        <v>8</v>
      </c>
      <c r="B193" s="96" t="s">
        <v>58</v>
      </c>
      <c r="C193" s="97" t="s">
        <v>57</v>
      </c>
      <c r="D193" s="98">
        <f>D192</f>
        <v>16</v>
      </c>
      <c r="E193" s="95" t="s">
        <v>59</v>
      </c>
      <c r="F193" s="99">
        <v>120000</v>
      </c>
      <c r="G193" s="100"/>
      <c r="H193" s="100">
        <f t="shared" si="32"/>
        <v>1920000</v>
      </c>
      <c r="I193" s="101"/>
      <c r="J193" s="101"/>
      <c r="K193" s="102"/>
      <c r="L193" s="134"/>
    </row>
    <row r="194" spans="1:15">
      <c r="A194" s="34">
        <v>9</v>
      </c>
      <c r="B194" s="168" t="s">
        <v>388</v>
      </c>
      <c r="C194" s="44" t="s">
        <v>57</v>
      </c>
      <c r="D194" s="31">
        <f>K185*2</f>
        <v>32</v>
      </c>
      <c r="E194" s="34" t="s">
        <v>59</v>
      </c>
      <c r="F194" s="17">
        <v>35000</v>
      </c>
      <c r="G194" s="74">
        <f>F194*D194</f>
        <v>1120000</v>
      </c>
      <c r="H194" s="74"/>
      <c r="I194" s="42"/>
      <c r="J194" s="42"/>
      <c r="K194" s="39"/>
      <c r="L194" s="135"/>
    </row>
    <row r="195" spans="1:15">
      <c r="A195" s="95">
        <v>10</v>
      </c>
      <c r="B195" s="96" t="s">
        <v>76</v>
      </c>
      <c r="C195" s="97" t="s">
        <v>3</v>
      </c>
      <c r="D195" s="98">
        <f>K185</f>
        <v>16</v>
      </c>
      <c r="E195" s="95" t="s">
        <v>51</v>
      </c>
      <c r="F195" s="99">
        <v>300000</v>
      </c>
      <c r="G195" s="100">
        <f>F195*D195</f>
        <v>4800000</v>
      </c>
      <c r="H195" s="100"/>
      <c r="I195" s="101"/>
      <c r="J195" s="101"/>
      <c r="K195" s="102"/>
      <c r="L195" s="134"/>
      <c r="M195">
        <f>40*3</f>
        <v>120</v>
      </c>
    </row>
    <row r="196" spans="1:15">
      <c r="A196" s="34">
        <v>11</v>
      </c>
      <c r="B196" s="545" t="s">
        <v>471</v>
      </c>
      <c r="C196" s="121" t="s">
        <v>2</v>
      </c>
      <c r="D196" s="122">
        <f>705*K185</f>
        <v>11280</v>
      </c>
      <c r="E196" s="119" t="s">
        <v>49</v>
      </c>
      <c r="F196" s="123">
        <v>9000</v>
      </c>
      <c r="G196" s="124">
        <f>F196*D196</f>
        <v>101520000</v>
      </c>
      <c r="H196" s="74"/>
      <c r="I196" s="42"/>
      <c r="J196" s="42"/>
      <c r="K196" s="39"/>
      <c r="L196" s="135"/>
    </row>
    <row r="197" spans="1:15">
      <c r="A197" s="104">
        <v>12</v>
      </c>
      <c r="B197" s="177" t="s">
        <v>358</v>
      </c>
      <c r="C197" s="105" t="s">
        <v>57</v>
      </c>
      <c r="D197" s="106">
        <f>10*K185</f>
        <v>160</v>
      </c>
      <c r="E197" s="104" t="s">
        <v>59</v>
      </c>
      <c r="F197" s="107">
        <v>115000</v>
      </c>
      <c r="G197" s="108"/>
      <c r="H197" s="100">
        <f t="shared" ref="H197" si="33">F197*D197</f>
        <v>18400000</v>
      </c>
      <c r="I197" s="109"/>
      <c r="J197" s="109"/>
      <c r="K197" s="110"/>
      <c r="L197" s="134"/>
      <c r="M197" s="170"/>
    </row>
    <row r="198" spans="1:15">
      <c r="A198" s="34">
        <v>13</v>
      </c>
      <c r="B198" s="168" t="s">
        <v>169</v>
      </c>
      <c r="C198" s="44" t="s">
        <v>53</v>
      </c>
      <c r="D198" s="31">
        <f>10*K185</f>
        <v>160</v>
      </c>
      <c r="E198" s="34" t="s">
        <v>88</v>
      </c>
      <c r="F198" s="17">
        <v>1000000</v>
      </c>
      <c r="G198" s="74"/>
      <c r="H198" s="74">
        <f>F198*D198</f>
        <v>160000000</v>
      </c>
      <c r="I198" s="34"/>
      <c r="J198" s="34"/>
      <c r="K198" s="39"/>
      <c r="L198" s="135"/>
    </row>
    <row r="199" spans="1:15" s="208" customFormat="1">
      <c r="A199" s="95">
        <v>14</v>
      </c>
      <c r="B199" s="171" t="s">
        <v>172</v>
      </c>
      <c r="C199" s="97" t="s">
        <v>57</v>
      </c>
      <c r="D199" s="98">
        <f>10*K185</f>
        <v>160</v>
      </c>
      <c r="E199" s="95" t="s">
        <v>59</v>
      </c>
      <c r="F199" s="99">
        <v>35000</v>
      </c>
      <c r="G199" s="100"/>
      <c r="H199" s="100">
        <f t="shared" ref="H199" si="34">F199*D199</f>
        <v>5600000</v>
      </c>
      <c r="I199" s="101"/>
      <c r="J199" s="101"/>
      <c r="K199" s="102"/>
      <c r="L199" s="134"/>
    </row>
    <row r="200" spans="1:15" s="297" customFormat="1">
      <c r="A200" s="203">
        <f>A199+1</f>
        <v>15</v>
      </c>
      <c r="B200" s="298" t="s">
        <v>186</v>
      </c>
      <c r="C200" s="203" t="s">
        <v>57</v>
      </c>
      <c r="D200" s="299">
        <f>K186*2</f>
        <v>32</v>
      </c>
      <c r="E200" s="203" t="s">
        <v>185</v>
      </c>
      <c r="F200" s="300">
        <v>75000</v>
      </c>
      <c r="G200" s="301">
        <f>D200*F200</f>
        <v>2400000</v>
      </c>
      <c r="H200" s="301"/>
      <c r="I200" s="302"/>
      <c r="J200" s="302"/>
      <c r="K200" s="303"/>
      <c r="L200" s="298"/>
      <c r="M200" s="296"/>
    </row>
    <row r="201" spans="1:15" s="307" customFormat="1">
      <c r="A201" s="284">
        <v>16</v>
      </c>
      <c r="B201" s="285" t="s">
        <v>313</v>
      </c>
      <c r="C201" s="284" t="s">
        <v>57</v>
      </c>
      <c r="D201" s="286">
        <f>K185</f>
        <v>16</v>
      </c>
      <c r="E201" s="284" t="s">
        <v>185</v>
      </c>
      <c r="F201" s="287">
        <v>200000</v>
      </c>
      <c r="G201" s="288">
        <f>D201*F201</f>
        <v>3200000</v>
      </c>
      <c r="H201" s="288"/>
      <c r="I201" s="526"/>
      <c r="J201" s="526"/>
      <c r="K201" s="289"/>
      <c r="L201" s="285"/>
      <c r="M201" s="306">
        <f>G202/K185</f>
        <v>8642000</v>
      </c>
    </row>
    <row r="202" spans="1:15">
      <c r="A202" s="60"/>
      <c r="B202" s="61"/>
      <c r="C202" s="62"/>
      <c r="D202" s="63"/>
      <c r="E202" s="64"/>
      <c r="F202" s="69" t="s">
        <v>10</v>
      </c>
      <c r="G202" s="75">
        <f>SUM(G186:G201)</f>
        <v>138272000</v>
      </c>
      <c r="H202" s="75">
        <f>SUM(H186:H199)</f>
        <v>424171457.14285719</v>
      </c>
      <c r="I202" s="65"/>
      <c r="J202" s="65"/>
      <c r="K202" s="66"/>
      <c r="L202" s="136"/>
    </row>
    <row r="203" spans="1:15">
      <c r="A203" s="60"/>
      <c r="B203" s="61"/>
      <c r="C203" s="62"/>
      <c r="D203" s="63"/>
      <c r="E203" s="64"/>
      <c r="F203" s="70" t="s">
        <v>73</v>
      </c>
      <c r="G203" s="76"/>
      <c r="H203" s="75">
        <f>H202+G202</f>
        <v>562443457.14285719</v>
      </c>
      <c r="I203" s="65"/>
      <c r="J203" s="65"/>
      <c r="K203" s="66"/>
      <c r="L203" s="136"/>
    </row>
    <row r="204" spans="1:15">
      <c r="A204" s="60"/>
      <c r="B204" s="61"/>
      <c r="C204" s="62"/>
      <c r="D204" s="63"/>
      <c r="E204" s="64"/>
      <c r="F204" s="70" t="s">
        <v>297</v>
      </c>
      <c r="G204" s="78"/>
      <c r="H204" s="71">
        <v>2460</v>
      </c>
      <c r="I204" s="65" t="s">
        <v>15</v>
      </c>
      <c r="J204" s="65"/>
      <c r="K204" s="66"/>
      <c r="L204" s="136"/>
    </row>
    <row r="205" spans="1:15">
      <c r="A205" s="60"/>
      <c r="B205" s="61"/>
      <c r="C205" s="62"/>
      <c r="D205" s="63"/>
      <c r="E205" s="64"/>
      <c r="F205" s="70" t="s">
        <v>74</v>
      </c>
      <c r="G205" s="76"/>
      <c r="H205" s="75">
        <f>H203/H204</f>
        <v>228635.55168408828</v>
      </c>
      <c r="I205" s="65" t="s">
        <v>75</v>
      </c>
      <c r="J205" s="65"/>
      <c r="K205" s="66"/>
      <c r="L205" s="136"/>
    </row>
    <row r="207" spans="1:15" s="26" customFormat="1">
      <c r="A207" s="83" t="s">
        <v>162</v>
      </c>
      <c r="B207" s="84" t="s">
        <v>142</v>
      </c>
      <c r="C207" s="85"/>
      <c r="D207" s="86"/>
      <c r="E207" s="87"/>
      <c r="F207" s="88"/>
      <c r="G207" s="89"/>
      <c r="H207" s="89"/>
      <c r="I207" s="90">
        <f>MIN(I208:I208)</f>
        <v>42177</v>
      </c>
      <c r="J207" s="91">
        <f>MAX(J208:J208)</f>
        <v>42212</v>
      </c>
      <c r="K207" s="92">
        <f>K208</f>
        <v>35</v>
      </c>
      <c r="L207" s="132" t="s">
        <v>94</v>
      </c>
    </row>
    <row r="208" spans="1:15">
      <c r="A208" s="47">
        <v>1</v>
      </c>
      <c r="B208" s="20" t="s">
        <v>118</v>
      </c>
      <c r="C208" s="48" t="s">
        <v>119</v>
      </c>
      <c r="D208" s="49">
        <v>450</v>
      </c>
      <c r="E208" s="47" t="s">
        <v>15</v>
      </c>
      <c r="F208" s="103">
        <v>1250000</v>
      </c>
      <c r="G208" s="77"/>
      <c r="H208" s="77">
        <f>F208*D208</f>
        <v>562500000</v>
      </c>
      <c r="I208" s="50">
        <v>42177</v>
      </c>
      <c r="J208" s="50">
        <f>I208+35</f>
        <v>42212</v>
      </c>
      <c r="K208" s="51">
        <f t="shared" ref="K208" si="35">J208-I208</f>
        <v>35</v>
      </c>
      <c r="L208" s="133"/>
      <c r="M208">
        <v>200</v>
      </c>
      <c r="N208">
        <f>31531+9459</f>
        <v>40990</v>
      </c>
      <c r="O208" t="s">
        <v>92</v>
      </c>
    </row>
    <row r="209" spans="1:17">
      <c r="A209" s="111"/>
      <c r="B209" s="112"/>
      <c r="C209" s="113"/>
      <c r="D209" s="114"/>
      <c r="E209" s="111"/>
      <c r="F209" s="115"/>
      <c r="G209" s="116"/>
      <c r="H209" s="116"/>
      <c r="I209" s="117"/>
      <c r="J209" s="117"/>
      <c r="K209" s="118"/>
      <c r="L209" s="139"/>
      <c r="N209">
        <f>800000/30</f>
        <v>26666.666666666668</v>
      </c>
      <c r="O209">
        <v>40000</v>
      </c>
      <c r="P209">
        <v>45000</v>
      </c>
      <c r="Q209">
        <f>SUM(N209:P209)</f>
        <v>111666.66666666667</v>
      </c>
    </row>
    <row r="210" spans="1:17">
      <c r="A210" s="60"/>
      <c r="B210" s="61"/>
      <c r="C210" s="62"/>
      <c r="D210" s="63"/>
      <c r="E210" s="64"/>
      <c r="F210" s="69" t="s">
        <v>10</v>
      </c>
      <c r="G210" s="75">
        <f>SUM(G208:G209)</f>
        <v>0</v>
      </c>
      <c r="H210" s="75">
        <f>SUM(H208:H209)</f>
        <v>562500000</v>
      </c>
      <c r="I210" s="65"/>
      <c r="J210" s="65"/>
      <c r="K210" s="66"/>
      <c r="L210" s="136"/>
    </row>
    <row r="211" spans="1:17">
      <c r="N211" s="170"/>
    </row>
    <row r="212" spans="1:17" s="26" customFormat="1">
      <c r="A212" s="83" t="s">
        <v>163</v>
      </c>
      <c r="B212" s="84" t="s">
        <v>137</v>
      </c>
      <c r="C212" s="85"/>
      <c r="D212" s="86"/>
      <c r="E212" s="87"/>
      <c r="F212" s="88"/>
      <c r="G212" s="89"/>
      <c r="H212" s="89"/>
      <c r="I212" s="90">
        <f>MIN(I213:I213)</f>
        <v>0</v>
      </c>
      <c r="J212" s="91">
        <f>MAX(J213:J213)</f>
        <v>0</v>
      </c>
      <c r="K212" s="92">
        <f>K213</f>
        <v>0</v>
      </c>
      <c r="L212" s="132" t="s">
        <v>94</v>
      </c>
    </row>
    <row r="213" spans="1:17">
      <c r="A213" s="47">
        <v>1</v>
      </c>
      <c r="B213" s="20" t="s">
        <v>118</v>
      </c>
      <c r="C213" s="48" t="s">
        <v>119</v>
      </c>
      <c r="D213" s="49">
        <v>1</v>
      </c>
      <c r="E213" s="47" t="s">
        <v>15</v>
      </c>
      <c r="F213" s="103">
        <v>9000</v>
      </c>
      <c r="G213" s="77"/>
      <c r="H213" s="77">
        <f>F213*D213</f>
        <v>9000</v>
      </c>
      <c r="I213" s="50"/>
      <c r="J213" s="50"/>
      <c r="K213" s="51">
        <f t="shared" ref="K213" si="36">J213-I213</f>
        <v>0</v>
      </c>
      <c r="L213" s="133"/>
      <c r="M213">
        <v>200</v>
      </c>
      <c r="N213">
        <f>31531+9459</f>
        <v>40990</v>
      </c>
      <c r="O213" t="s">
        <v>92</v>
      </c>
    </row>
    <row r="214" spans="1:17">
      <c r="A214" s="111"/>
      <c r="B214" s="112"/>
      <c r="C214" s="113"/>
      <c r="D214" s="114"/>
      <c r="E214" s="111"/>
      <c r="F214" s="115"/>
      <c r="G214" s="116"/>
      <c r="H214" s="116"/>
      <c r="I214" s="117"/>
      <c r="J214" s="117"/>
      <c r="K214" s="118"/>
      <c r="L214" s="139"/>
      <c r="N214">
        <f>800000/30</f>
        <v>26666.666666666668</v>
      </c>
      <c r="O214">
        <v>40000</v>
      </c>
      <c r="P214">
        <v>45000</v>
      </c>
      <c r="Q214">
        <f>SUM(N214:P214)</f>
        <v>111666.66666666667</v>
      </c>
    </row>
    <row r="215" spans="1:17">
      <c r="A215" s="60"/>
      <c r="B215" s="61"/>
      <c r="C215" s="62"/>
      <c r="D215" s="63"/>
      <c r="E215" s="64"/>
      <c r="F215" s="69" t="s">
        <v>10</v>
      </c>
      <c r="G215" s="75">
        <f>SUM(G213:G214)</f>
        <v>0</v>
      </c>
      <c r="H215" s="75">
        <f>SUM(H213:H214)</f>
        <v>9000</v>
      </c>
      <c r="I215" s="65"/>
      <c r="J215" s="65"/>
      <c r="K215" s="66"/>
      <c r="L215" s="136"/>
    </row>
    <row r="217" spans="1:17" s="26" customFormat="1">
      <c r="A217" s="83" t="s">
        <v>164</v>
      </c>
      <c r="B217" s="84" t="s">
        <v>117</v>
      </c>
      <c r="C217" s="85"/>
      <c r="D217" s="86"/>
      <c r="E217" s="87"/>
      <c r="F217" s="88"/>
      <c r="G217" s="89"/>
      <c r="H217" s="89"/>
      <c r="I217" s="90">
        <f>MIN(I218:I218)</f>
        <v>42135</v>
      </c>
      <c r="J217" s="91">
        <f>MAX(J218:J218)</f>
        <v>42225</v>
      </c>
      <c r="K217" s="92">
        <f>K218</f>
        <v>90</v>
      </c>
      <c r="L217" s="132" t="s">
        <v>94</v>
      </c>
    </row>
    <row r="218" spans="1:17">
      <c r="A218" s="47">
        <v>1</v>
      </c>
      <c r="B218" s="20" t="s">
        <v>118</v>
      </c>
      <c r="C218" s="48" t="s">
        <v>119</v>
      </c>
      <c r="D218" s="49">
        <v>1196.8487227567839</v>
      </c>
      <c r="E218" s="47" t="s">
        <v>15</v>
      </c>
      <c r="F218" s="103">
        <v>450000</v>
      </c>
      <c r="G218" s="77"/>
      <c r="H218" s="77">
        <f>F218*D218</f>
        <v>538581925.24055278</v>
      </c>
      <c r="I218" s="50">
        <v>42135</v>
      </c>
      <c r="J218" s="50">
        <v>42225</v>
      </c>
      <c r="K218" s="51">
        <f t="shared" ref="K218" si="37">J218-I218</f>
        <v>90</v>
      </c>
      <c r="L218" s="133"/>
      <c r="M218">
        <v>200</v>
      </c>
      <c r="N218">
        <f>31531+9459</f>
        <v>40990</v>
      </c>
      <c r="O218" t="s">
        <v>92</v>
      </c>
    </row>
    <row r="219" spans="1:17">
      <c r="A219" s="111"/>
      <c r="B219" s="112"/>
      <c r="C219" s="113"/>
      <c r="D219" s="114"/>
      <c r="E219" s="111"/>
      <c r="F219" s="115"/>
      <c r="G219" s="116"/>
      <c r="H219" s="116"/>
      <c r="I219" s="117"/>
      <c r="J219" s="117"/>
      <c r="K219" s="118"/>
      <c r="L219" s="139"/>
      <c r="N219">
        <f>800000/30</f>
        <v>26666.666666666668</v>
      </c>
      <c r="O219">
        <v>40000</v>
      </c>
      <c r="P219">
        <v>45000</v>
      </c>
      <c r="Q219">
        <f>SUM(N219:P219)</f>
        <v>111666.66666666667</v>
      </c>
    </row>
    <row r="220" spans="1:17">
      <c r="A220" s="60"/>
      <c r="B220" s="61"/>
      <c r="C220" s="62"/>
      <c r="D220" s="63"/>
      <c r="E220" s="64"/>
      <c r="F220" s="69" t="s">
        <v>10</v>
      </c>
      <c r="G220" s="75">
        <f>SUM(G218:G219)</f>
        <v>0</v>
      </c>
      <c r="H220" s="75">
        <f>SUM(H218:H219)</f>
        <v>538581925.24055278</v>
      </c>
      <c r="I220" s="65"/>
      <c r="J220" s="65"/>
      <c r="K220" s="66"/>
      <c r="L220" s="136"/>
    </row>
    <row r="222" spans="1:17" s="26" customFormat="1">
      <c r="A222" s="83" t="s">
        <v>165</v>
      </c>
      <c r="B222" s="84" t="s">
        <v>138</v>
      </c>
      <c r="C222" s="85"/>
      <c r="D222" s="86"/>
      <c r="E222" s="87"/>
      <c r="F222" s="88"/>
      <c r="G222" s="89"/>
      <c r="H222" s="89"/>
      <c r="I222" s="90">
        <f>MIN(I223:I223)</f>
        <v>0</v>
      </c>
      <c r="J222" s="91">
        <f>MAX(J223:J223)</f>
        <v>0</v>
      </c>
      <c r="K222" s="92">
        <f>K223</f>
        <v>0</v>
      </c>
      <c r="L222" s="132" t="s">
        <v>94</v>
      </c>
    </row>
    <row r="223" spans="1:17">
      <c r="A223" s="47">
        <v>1</v>
      </c>
      <c r="B223" s="20" t="s">
        <v>118</v>
      </c>
      <c r="C223" s="48" t="s">
        <v>119</v>
      </c>
      <c r="D223" s="49">
        <v>50</v>
      </c>
      <c r="E223" s="47" t="s">
        <v>15</v>
      </c>
      <c r="F223" s="103">
        <v>450000</v>
      </c>
      <c r="G223" s="77"/>
      <c r="H223" s="77">
        <f>F223*D223</f>
        <v>22500000</v>
      </c>
      <c r="I223" s="50"/>
      <c r="J223" s="50"/>
      <c r="K223" s="51">
        <f t="shared" ref="K223" si="38">J223-I223</f>
        <v>0</v>
      </c>
      <c r="L223" s="133"/>
      <c r="M223">
        <v>200</v>
      </c>
      <c r="N223">
        <f>31531+9459</f>
        <v>40990</v>
      </c>
      <c r="O223" t="s">
        <v>92</v>
      </c>
    </row>
    <row r="224" spans="1:17">
      <c r="A224" s="111"/>
      <c r="B224" s="112"/>
      <c r="C224" s="113"/>
      <c r="D224" s="114"/>
      <c r="E224" s="111"/>
      <c r="F224" s="115"/>
      <c r="G224" s="116"/>
      <c r="H224" s="116"/>
      <c r="I224" s="117"/>
      <c r="J224" s="117"/>
      <c r="K224" s="118"/>
      <c r="L224" s="139"/>
      <c r="N224">
        <f>800000/30</f>
        <v>26666.666666666668</v>
      </c>
      <c r="O224">
        <v>40000</v>
      </c>
      <c r="P224">
        <v>45000</v>
      </c>
      <c r="Q224">
        <f>SUM(N224:P224)</f>
        <v>111666.66666666667</v>
      </c>
    </row>
    <row r="225" spans="1:17">
      <c r="A225" s="60"/>
      <c r="B225" s="61"/>
      <c r="C225" s="62"/>
      <c r="D225" s="63"/>
      <c r="E225" s="64"/>
      <c r="F225" s="69" t="s">
        <v>10</v>
      </c>
      <c r="G225" s="75">
        <f>SUM(G223:G224)</f>
        <v>0</v>
      </c>
      <c r="H225" s="75">
        <f>SUM(H223:H224)</f>
        <v>22500000</v>
      </c>
      <c r="I225" s="65"/>
      <c r="J225" s="65"/>
      <c r="K225" s="66"/>
      <c r="L225" s="136"/>
    </row>
    <row r="226" spans="1:17" s="128" customFormat="1">
      <c r="A226" s="156"/>
      <c r="B226" s="157"/>
      <c r="C226" s="158"/>
      <c r="D226" s="159"/>
      <c r="E226" s="160"/>
      <c r="F226" s="309"/>
      <c r="G226" s="310"/>
      <c r="H226" s="310"/>
      <c r="I226" s="164"/>
      <c r="J226" s="164"/>
      <c r="K226" s="165"/>
      <c r="L226" s="166"/>
    </row>
    <row r="227" spans="1:17" s="26" customFormat="1">
      <c r="A227" s="83" t="s">
        <v>166</v>
      </c>
      <c r="B227" s="84" t="s">
        <v>225</v>
      </c>
      <c r="C227" s="85"/>
      <c r="D227" s="86"/>
      <c r="E227" s="87"/>
      <c r="F227" s="88"/>
      <c r="G227" s="89"/>
      <c r="H227" s="89"/>
      <c r="I227" s="90">
        <f>MIN(I228:I228)</f>
        <v>42128</v>
      </c>
      <c r="J227" s="91">
        <f>MAX(J228:J228)</f>
        <v>42170</v>
      </c>
      <c r="K227" s="92">
        <f>K228</f>
        <v>42</v>
      </c>
      <c r="L227" s="132" t="s">
        <v>94</v>
      </c>
    </row>
    <row r="228" spans="1:17">
      <c r="A228" s="47">
        <v>1</v>
      </c>
      <c r="B228" s="167" t="s">
        <v>226</v>
      </c>
      <c r="C228" s="48" t="s">
        <v>227</v>
      </c>
      <c r="D228" s="49">
        <v>152</v>
      </c>
      <c r="E228" s="311" t="s">
        <v>228</v>
      </c>
      <c r="F228" s="103">
        <f>5*35000</f>
        <v>175000</v>
      </c>
      <c r="G228" s="77">
        <f>F228*D228</f>
        <v>26600000</v>
      </c>
      <c r="H228" s="77"/>
      <c r="I228" s="50">
        <v>42128</v>
      </c>
      <c r="J228" s="50">
        <f>I228+42</f>
        <v>42170</v>
      </c>
      <c r="K228" s="51">
        <f t="shared" ref="K228" si="39">J228-I228</f>
        <v>42</v>
      </c>
      <c r="L228" s="169" t="s">
        <v>281</v>
      </c>
      <c r="M228">
        <v>200</v>
      </c>
      <c r="N228">
        <f>31531+9459</f>
        <v>40990</v>
      </c>
      <c r="O228" t="s">
        <v>92</v>
      </c>
    </row>
    <row r="229" spans="1:17">
      <c r="A229" s="47">
        <v>2</v>
      </c>
      <c r="B229" s="20"/>
      <c r="C229" s="48"/>
      <c r="D229" s="49"/>
      <c r="E229" s="47"/>
      <c r="F229" s="103"/>
      <c r="G229" s="77"/>
      <c r="H229" s="77"/>
      <c r="I229" s="50"/>
      <c r="J229" s="50"/>
      <c r="K229" s="51"/>
      <c r="L229" s="169" t="s">
        <v>282</v>
      </c>
      <c r="M229">
        <v>200</v>
      </c>
      <c r="N229">
        <f>31531+9459</f>
        <v>40990</v>
      </c>
      <c r="O229" t="s">
        <v>92</v>
      </c>
    </row>
    <row r="230" spans="1:17">
      <c r="A230" s="111"/>
      <c r="B230" s="112"/>
      <c r="C230" s="113"/>
      <c r="D230" s="114"/>
      <c r="E230" s="111"/>
      <c r="F230" s="115"/>
      <c r="G230" s="116"/>
      <c r="H230" s="116"/>
      <c r="I230" s="117"/>
      <c r="J230" s="117"/>
      <c r="K230" s="118"/>
      <c r="L230" s="139"/>
      <c r="N230">
        <f>800000/30</f>
        <v>26666.666666666668</v>
      </c>
      <c r="O230">
        <v>40000</v>
      </c>
      <c r="P230">
        <v>45000</v>
      </c>
      <c r="Q230">
        <f>SUM(N230:P230)</f>
        <v>111666.66666666667</v>
      </c>
    </row>
    <row r="231" spans="1:17">
      <c r="A231" s="60"/>
      <c r="B231" s="61"/>
      <c r="C231" s="62"/>
      <c r="D231" s="63"/>
      <c r="E231" s="64"/>
      <c r="F231" s="69" t="s">
        <v>10</v>
      </c>
      <c r="G231" s="75">
        <f>SUM(G228:G230)</f>
        <v>26600000</v>
      </c>
      <c r="H231" s="75">
        <f>SUM(H228:H230)</f>
        <v>0</v>
      </c>
      <c r="I231" s="65"/>
      <c r="J231" s="65"/>
      <c r="K231" s="66"/>
      <c r="L231" s="136"/>
    </row>
    <row r="233" spans="1:17" ht="47.25">
      <c r="C233" s="883"/>
      <c r="D233" s="883"/>
      <c r="E233" s="883"/>
      <c r="F233" s="884"/>
      <c r="G233" s="142" t="s">
        <v>130</v>
      </c>
      <c r="H233" s="142"/>
      <c r="I233" s="142" t="s">
        <v>180</v>
      </c>
      <c r="J233" s="142"/>
      <c r="K233" s="142"/>
    </row>
    <row r="234" spans="1:17">
      <c r="C234" s="869" t="str">
        <f>B7</f>
        <v>MOBILISASI &amp; ADMINISTRASI</v>
      </c>
      <c r="D234" s="870"/>
      <c r="E234" s="870"/>
      <c r="F234" s="871"/>
      <c r="G234" s="144">
        <f>G18</f>
        <v>13800000</v>
      </c>
      <c r="H234" s="144"/>
      <c r="I234" s="144"/>
      <c r="J234" s="144"/>
      <c r="K234" s="144"/>
    </row>
    <row r="235" spans="1:17">
      <c r="C235" s="869" t="str">
        <f>B21</f>
        <v>MANAJEMEN DAN KESELAMATAN LALU LINTAS</v>
      </c>
      <c r="D235" s="870"/>
      <c r="E235" s="870"/>
      <c r="F235" s="871"/>
      <c r="G235" s="144">
        <f>G26</f>
        <v>2575000</v>
      </c>
      <c r="H235" s="144"/>
      <c r="I235" s="143"/>
      <c r="J235" s="153"/>
      <c r="K235" s="154"/>
    </row>
    <row r="236" spans="1:17">
      <c r="C236" s="873" t="str">
        <f>B46</f>
        <v>PEKERJAAN GALIAN UNTUK SELOKAN DRAINASE DAN SAL AIR</v>
      </c>
      <c r="D236" s="874"/>
      <c r="E236" s="874"/>
      <c r="F236" s="875"/>
      <c r="G236" s="144">
        <f>G59</f>
        <v>21105000</v>
      </c>
      <c r="H236" s="144"/>
      <c r="I236" s="143"/>
      <c r="J236" s="144"/>
      <c r="K236" s="144"/>
    </row>
    <row r="237" spans="1:17">
      <c r="C237" s="869" t="str">
        <f>B64</f>
        <v>PASANGAN BATU DENGAN MORTAR</v>
      </c>
      <c r="D237" s="870"/>
      <c r="E237" s="870"/>
      <c r="F237" s="871"/>
      <c r="G237" s="180"/>
      <c r="H237" s="144"/>
      <c r="I237" s="143"/>
      <c r="J237" s="144"/>
      <c r="K237" s="144"/>
    </row>
    <row r="238" spans="1:17">
      <c r="C238" s="869" t="str">
        <f>B69</f>
        <v>GORONG2 PIPA BETON BERTULANG 70-100</v>
      </c>
      <c r="D238" s="870"/>
      <c r="E238" s="870"/>
      <c r="F238" s="871"/>
      <c r="G238" s="180"/>
      <c r="H238" s="144"/>
      <c r="I238" s="143"/>
      <c r="J238" s="144"/>
      <c r="K238" s="144"/>
    </row>
    <row r="239" spans="1:17">
      <c r="C239" s="869" t="str">
        <f>B74</f>
        <v>PEKERJAAN GALIAN BIASA</v>
      </c>
      <c r="D239" s="870"/>
      <c r="E239" s="870"/>
      <c r="F239" s="871"/>
      <c r="G239" s="144">
        <f>G87</f>
        <v>70850000</v>
      </c>
      <c r="H239" s="144"/>
      <c r="I239" s="143"/>
      <c r="J239" s="144"/>
      <c r="K239" s="144"/>
    </row>
    <row r="240" spans="1:17">
      <c r="C240" s="869" t="e">
        <f>#REF!</f>
        <v>#REF!</v>
      </c>
      <c r="D240" s="870"/>
      <c r="E240" s="870"/>
      <c r="F240" s="871"/>
      <c r="G240" s="144" t="e">
        <f>#REF!</f>
        <v>#REF!</v>
      </c>
      <c r="H240" s="144"/>
      <c r="I240" s="143"/>
      <c r="J240" s="144"/>
      <c r="K240" s="144"/>
    </row>
    <row r="241" spans="1:12">
      <c r="C241" s="869" t="str">
        <f>B92</f>
        <v>TIMBUNAN BIASA DARI SUMBER GALIAN</v>
      </c>
      <c r="D241" s="870"/>
      <c r="E241" s="870"/>
      <c r="F241" s="871"/>
      <c r="G241" s="144">
        <f>G105</f>
        <v>52489000</v>
      </c>
      <c r="H241" s="144"/>
      <c r="I241" s="143"/>
      <c r="J241" s="144"/>
      <c r="K241" s="144"/>
    </row>
    <row r="242" spans="1:12">
      <c r="C242" s="869" t="str">
        <f>B110</f>
        <v>TIMBUNAN PILIHAN DARI SUMBER GALIAN</v>
      </c>
      <c r="D242" s="870"/>
      <c r="E242" s="870"/>
      <c r="F242" s="871"/>
      <c r="G242" s="144">
        <f>G127</f>
        <v>991468400</v>
      </c>
      <c r="H242" s="144"/>
      <c r="I242" s="143"/>
      <c r="J242" s="144"/>
      <c r="K242" s="144"/>
    </row>
    <row r="243" spans="1:12">
      <c r="C243" s="869" t="e">
        <f>#REF!</f>
        <v>#REF!</v>
      </c>
      <c r="D243" s="870"/>
      <c r="E243" s="870"/>
      <c r="F243" s="871"/>
      <c r="G243" s="144" t="e">
        <f>#REF!</f>
        <v>#REF!</v>
      </c>
      <c r="H243" s="144"/>
      <c r="I243" s="143"/>
      <c r="J243" s="144"/>
      <c r="K243" s="144"/>
    </row>
    <row r="244" spans="1:12">
      <c r="C244" s="869" t="str">
        <f>B185</f>
        <v>LAPIS PONDASI AGREGAT KLAS S</v>
      </c>
      <c r="D244" s="870"/>
      <c r="E244" s="870"/>
      <c r="F244" s="871"/>
      <c r="G244" s="144">
        <f>G202</f>
        <v>138272000</v>
      </c>
      <c r="H244" s="144"/>
      <c r="I244" s="143"/>
      <c r="J244" s="144"/>
      <c r="K244" s="144"/>
    </row>
    <row r="245" spans="1:12">
      <c r="C245" s="869" t="str">
        <f>B132</f>
        <v>LAPIS PONDASI AGREGAT KLAS A</v>
      </c>
      <c r="D245" s="870"/>
      <c r="E245" s="870"/>
      <c r="F245" s="871"/>
      <c r="G245" s="144">
        <f>G149</f>
        <v>259260000</v>
      </c>
      <c r="H245" s="144"/>
      <c r="I245" s="143"/>
      <c r="J245" s="144"/>
      <c r="K245" s="144"/>
    </row>
    <row r="246" spans="1:12">
      <c r="C246" s="869" t="str">
        <f>B154</f>
        <v>LASTON LAPIS AUS AC-WC</v>
      </c>
      <c r="D246" s="870"/>
      <c r="E246" s="870"/>
      <c r="F246" s="871"/>
      <c r="G246" s="144">
        <f>G166</f>
        <v>88790000</v>
      </c>
      <c r="H246" s="144"/>
      <c r="I246" s="143"/>
      <c r="J246" s="144"/>
      <c r="K246" s="144"/>
    </row>
    <row r="247" spans="1:12">
      <c r="C247" s="869" t="str">
        <f>B171</f>
        <v>PRIME COAT &amp; TACK COAT</v>
      </c>
      <c r="D247" s="870"/>
      <c r="E247" s="870"/>
      <c r="F247" s="871"/>
      <c r="G247" s="144">
        <f>G180</f>
        <v>9971000</v>
      </c>
      <c r="H247" s="144"/>
      <c r="I247" s="143"/>
      <c r="J247" s="144"/>
      <c r="K247" s="144"/>
    </row>
    <row r="248" spans="1:12">
      <c r="C248" s="869" t="str">
        <f>B217</f>
        <v>PASANGAN BATU</v>
      </c>
      <c r="D248" s="870"/>
      <c r="E248" s="870"/>
      <c r="F248" s="871"/>
      <c r="G248" s="180"/>
      <c r="H248" s="144"/>
      <c r="I248" s="143"/>
      <c r="J248" s="144"/>
      <c r="K248" s="144"/>
    </row>
    <row r="249" spans="1:12">
      <c r="C249" s="869" t="str">
        <f>B212</f>
        <v>Baja Tulangan U 24 Polos</v>
      </c>
      <c r="D249" s="870"/>
      <c r="E249" s="870"/>
      <c r="F249" s="871"/>
      <c r="G249" s="180"/>
      <c r="H249" s="144"/>
      <c r="I249" s="143"/>
      <c r="J249" s="144"/>
      <c r="K249" s="144"/>
    </row>
    <row r="250" spans="1:12">
      <c r="C250" s="869" t="str">
        <f>B217</f>
        <v>PASANGAN BATU</v>
      </c>
      <c r="D250" s="870"/>
      <c r="E250" s="870"/>
      <c r="F250" s="871"/>
      <c r="G250" s="180"/>
      <c r="H250" s="144"/>
      <c r="I250" s="143"/>
      <c r="J250" s="144"/>
      <c r="K250" s="144"/>
    </row>
    <row r="251" spans="1:12">
      <c r="C251" s="885" t="str">
        <f>B222</f>
        <v>Bronjong dengan kawat yang dilapisi galvanis</v>
      </c>
      <c r="D251" s="886"/>
      <c r="E251" s="886"/>
      <c r="F251" s="887"/>
      <c r="G251" s="180"/>
      <c r="H251" s="144"/>
      <c r="I251" s="143"/>
      <c r="J251" s="144"/>
      <c r="K251" s="144"/>
    </row>
    <row r="252" spans="1:12">
      <c r="C252" s="877" t="s">
        <v>250</v>
      </c>
      <c r="D252" s="878"/>
      <c r="E252" s="878"/>
      <c r="F252" s="879"/>
      <c r="G252" s="144">
        <f>G231</f>
        <v>26600000</v>
      </c>
      <c r="H252" s="144"/>
      <c r="I252" s="143"/>
      <c r="J252" s="144"/>
      <c r="K252" s="144"/>
    </row>
    <row r="253" spans="1:12" s="192" customFormat="1" ht="21.75" customHeight="1">
      <c r="A253" s="191"/>
      <c r="C253" s="880" t="s">
        <v>131</v>
      </c>
      <c r="D253" s="881"/>
      <c r="E253" s="881"/>
      <c r="F253" s="882"/>
      <c r="G253" s="193" t="e">
        <f>SUM(G234:G252)</f>
        <v>#REF!</v>
      </c>
      <c r="H253" s="193"/>
      <c r="I253" s="193"/>
      <c r="J253" s="193"/>
      <c r="K253" s="193"/>
      <c r="L253" s="194"/>
    </row>
  </sheetData>
  <autoFilter ref="A6:L232"/>
  <mergeCells count="23">
    <mergeCell ref="C252:F252"/>
    <mergeCell ref="C253:F253"/>
    <mergeCell ref="C233:F233"/>
    <mergeCell ref="C247:F247"/>
    <mergeCell ref="C248:F248"/>
    <mergeCell ref="C249:F249"/>
    <mergeCell ref="C250:F250"/>
    <mergeCell ref="C251:F251"/>
    <mergeCell ref="C242:F242"/>
    <mergeCell ref="C243:F243"/>
    <mergeCell ref="C244:F244"/>
    <mergeCell ref="C245:F245"/>
    <mergeCell ref="C246:F246"/>
    <mergeCell ref="C237:F237"/>
    <mergeCell ref="C238:F238"/>
    <mergeCell ref="C239:F239"/>
    <mergeCell ref="C240:F240"/>
    <mergeCell ref="C241:F241"/>
    <mergeCell ref="A1:L1"/>
    <mergeCell ref="C234:F234"/>
    <mergeCell ref="C235:F235"/>
    <mergeCell ref="C236:F236"/>
    <mergeCell ref="B2:M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7" orientation="landscape" horizontalDpi="4294967292" verticalDpi="4294967292" r:id="rId1"/>
  <rowBreaks count="7" manualBreakCount="7">
    <brk id="45" max="11" man="1"/>
    <brk id="63" max="11" man="1"/>
    <brk id="91" max="11" man="1"/>
    <brk id="131" max="11" man="1"/>
    <brk id="170" max="11" man="1"/>
    <brk id="206" max="11" man="1"/>
    <brk id="232" max="11" man="1"/>
  </rowBreak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K22"/>
  <sheetViews>
    <sheetView view="pageBreakPreview" topLeftCell="A19" zoomScale="82" zoomScaleNormal="100" zoomScaleSheetLayoutView="82" workbookViewId="0">
      <selection activeCell="D7" sqref="D7"/>
    </sheetView>
  </sheetViews>
  <sheetFormatPr defaultRowHeight="15.75"/>
  <cols>
    <col min="1" max="1" width="4.875" style="210" customWidth="1"/>
    <col min="2" max="3" width="14.25" style="210" customWidth="1"/>
    <col min="4" max="4" width="17" style="210" customWidth="1"/>
    <col min="5" max="5" width="15.75" style="210" customWidth="1"/>
    <col min="6" max="7" width="9" style="210"/>
    <col min="8" max="8" width="9" style="351"/>
    <col min="9" max="9" width="6.125" style="210" customWidth="1"/>
    <col min="10" max="10" width="9" style="210"/>
    <col min="11" max="11" width="19.25" style="210" customWidth="1"/>
    <col min="12" max="256" width="9" style="210"/>
    <col min="257" max="257" width="4.875" style="210" customWidth="1"/>
    <col min="258" max="259" width="10.625" style="210" customWidth="1"/>
    <col min="260" max="260" width="14.625" style="210" customWidth="1"/>
    <col min="261" max="261" width="15.75" style="210" customWidth="1"/>
    <col min="262" max="512" width="9" style="210"/>
    <col min="513" max="513" width="4.875" style="210" customWidth="1"/>
    <col min="514" max="515" width="10.625" style="210" customWidth="1"/>
    <col min="516" max="516" width="14.625" style="210" customWidth="1"/>
    <col min="517" max="517" width="15.75" style="210" customWidth="1"/>
    <col min="518" max="768" width="9" style="210"/>
    <col min="769" max="769" width="4.875" style="210" customWidth="1"/>
    <col min="770" max="771" width="10.625" style="210" customWidth="1"/>
    <col min="772" max="772" width="14.625" style="210" customWidth="1"/>
    <col min="773" max="773" width="15.75" style="210" customWidth="1"/>
    <col min="774" max="1024" width="9" style="210"/>
    <col min="1025" max="1025" width="4.875" style="210" customWidth="1"/>
    <col min="1026" max="1027" width="10.625" style="210" customWidth="1"/>
    <col min="1028" max="1028" width="14.625" style="210" customWidth="1"/>
    <col min="1029" max="1029" width="15.75" style="210" customWidth="1"/>
    <col min="1030" max="1280" width="9" style="210"/>
    <col min="1281" max="1281" width="4.875" style="210" customWidth="1"/>
    <col min="1282" max="1283" width="10.625" style="210" customWidth="1"/>
    <col min="1284" max="1284" width="14.625" style="210" customWidth="1"/>
    <col min="1285" max="1285" width="15.75" style="210" customWidth="1"/>
    <col min="1286" max="1536" width="9" style="210"/>
    <col min="1537" max="1537" width="4.875" style="210" customWidth="1"/>
    <col min="1538" max="1539" width="10.625" style="210" customWidth="1"/>
    <col min="1540" max="1540" width="14.625" style="210" customWidth="1"/>
    <col min="1541" max="1541" width="15.75" style="210" customWidth="1"/>
    <col min="1542" max="1792" width="9" style="210"/>
    <col min="1793" max="1793" width="4.875" style="210" customWidth="1"/>
    <col min="1794" max="1795" width="10.625" style="210" customWidth="1"/>
    <col min="1796" max="1796" width="14.625" style="210" customWidth="1"/>
    <col min="1797" max="1797" width="15.75" style="210" customWidth="1"/>
    <col min="1798" max="2048" width="9" style="210"/>
    <col min="2049" max="2049" width="4.875" style="210" customWidth="1"/>
    <col min="2050" max="2051" width="10.625" style="210" customWidth="1"/>
    <col min="2052" max="2052" width="14.625" style="210" customWidth="1"/>
    <col min="2053" max="2053" width="15.75" style="210" customWidth="1"/>
    <col min="2054" max="2304" width="9" style="210"/>
    <col min="2305" max="2305" width="4.875" style="210" customWidth="1"/>
    <col min="2306" max="2307" width="10.625" style="210" customWidth="1"/>
    <col min="2308" max="2308" width="14.625" style="210" customWidth="1"/>
    <col min="2309" max="2309" width="15.75" style="210" customWidth="1"/>
    <col min="2310" max="2560" width="9" style="210"/>
    <col min="2561" max="2561" width="4.875" style="210" customWidth="1"/>
    <col min="2562" max="2563" width="10.625" style="210" customWidth="1"/>
    <col min="2564" max="2564" width="14.625" style="210" customWidth="1"/>
    <col min="2565" max="2565" width="15.75" style="210" customWidth="1"/>
    <col min="2566" max="2816" width="9" style="210"/>
    <col min="2817" max="2817" width="4.875" style="210" customWidth="1"/>
    <col min="2818" max="2819" width="10.625" style="210" customWidth="1"/>
    <col min="2820" max="2820" width="14.625" style="210" customWidth="1"/>
    <col min="2821" max="2821" width="15.75" style="210" customWidth="1"/>
    <col min="2822" max="3072" width="9" style="210"/>
    <col min="3073" max="3073" width="4.875" style="210" customWidth="1"/>
    <col min="3074" max="3075" width="10.625" style="210" customWidth="1"/>
    <col min="3076" max="3076" width="14.625" style="210" customWidth="1"/>
    <col min="3077" max="3077" width="15.75" style="210" customWidth="1"/>
    <col min="3078" max="3328" width="9" style="210"/>
    <col min="3329" max="3329" width="4.875" style="210" customWidth="1"/>
    <col min="3330" max="3331" width="10.625" style="210" customWidth="1"/>
    <col min="3332" max="3332" width="14.625" style="210" customWidth="1"/>
    <col min="3333" max="3333" width="15.75" style="210" customWidth="1"/>
    <col min="3334" max="3584" width="9" style="210"/>
    <col min="3585" max="3585" width="4.875" style="210" customWidth="1"/>
    <col min="3586" max="3587" width="10.625" style="210" customWidth="1"/>
    <col min="3588" max="3588" width="14.625" style="210" customWidth="1"/>
    <col min="3589" max="3589" width="15.75" style="210" customWidth="1"/>
    <col min="3590" max="3840" width="9" style="210"/>
    <col min="3841" max="3841" width="4.875" style="210" customWidth="1"/>
    <col min="3842" max="3843" width="10.625" style="210" customWidth="1"/>
    <col min="3844" max="3844" width="14.625" style="210" customWidth="1"/>
    <col min="3845" max="3845" width="15.75" style="210" customWidth="1"/>
    <col min="3846" max="4096" width="9" style="210"/>
    <col min="4097" max="4097" width="4.875" style="210" customWidth="1"/>
    <col min="4098" max="4099" width="10.625" style="210" customWidth="1"/>
    <col min="4100" max="4100" width="14.625" style="210" customWidth="1"/>
    <col min="4101" max="4101" width="15.75" style="210" customWidth="1"/>
    <col min="4102" max="4352" width="9" style="210"/>
    <col min="4353" max="4353" width="4.875" style="210" customWidth="1"/>
    <col min="4354" max="4355" width="10.625" style="210" customWidth="1"/>
    <col min="4356" max="4356" width="14.625" style="210" customWidth="1"/>
    <col min="4357" max="4357" width="15.75" style="210" customWidth="1"/>
    <col min="4358" max="4608" width="9" style="210"/>
    <col min="4609" max="4609" width="4.875" style="210" customWidth="1"/>
    <col min="4610" max="4611" width="10.625" style="210" customWidth="1"/>
    <col min="4612" max="4612" width="14.625" style="210" customWidth="1"/>
    <col min="4613" max="4613" width="15.75" style="210" customWidth="1"/>
    <col min="4614" max="4864" width="9" style="210"/>
    <col min="4865" max="4865" width="4.875" style="210" customWidth="1"/>
    <col min="4866" max="4867" width="10.625" style="210" customWidth="1"/>
    <col min="4868" max="4868" width="14.625" style="210" customWidth="1"/>
    <col min="4869" max="4869" width="15.75" style="210" customWidth="1"/>
    <col min="4870" max="5120" width="9" style="210"/>
    <col min="5121" max="5121" width="4.875" style="210" customWidth="1"/>
    <col min="5122" max="5123" width="10.625" style="210" customWidth="1"/>
    <col min="5124" max="5124" width="14.625" style="210" customWidth="1"/>
    <col min="5125" max="5125" width="15.75" style="210" customWidth="1"/>
    <col min="5126" max="5376" width="9" style="210"/>
    <col min="5377" max="5377" width="4.875" style="210" customWidth="1"/>
    <col min="5378" max="5379" width="10.625" style="210" customWidth="1"/>
    <col min="5380" max="5380" width="14.625" style="210" customWidth="1"/>
    <col min="5381" max="5381" width="15.75" style="210" customWidth="1"/>
    <col min="5382" max="5632" width="9" style="210"/>
    <col min="5633" max="5633" width="4.875" style="210" customWidth="1"/>
    <col min="5634" max="5635" width="10.625" style="210" customWidth="1"/>
    <col min="5636" max="5636" width="14.625" style="210" customWidth="1"/>
    <col min="5637" max="5637" width="15.75" style="210" customWidth="1"/>
    <col min="5638" max="5888" width="9" style="210"/>
    <col min="5889" max="5889" width="4.875" style="210" customWidth="1"/>
    <col min="5890" max="5891" width="10.625" style="210" customWidth="1"/>
    <col min="5892" max="5892" width="14.625" style="210" customWidth="1"/>
    <col min="5893" max="5893" width="15.75" style="210" customWidth="1"/>
    <col min="5894" max="6144" width="9" style="210"/>
    <col min="6145" max="6145" width="4.875" style="210" customWidth="1"/>
    <col min="6146" max="6147" width="10.625" style="210" customWidth="1"/>
    <col min="6148" max="6148" width="14.625" style="210" customWidth="1"/>
    <col min="6149" max="6149" width="15.75" style="210" customWidth="1"/>
    <col min="6150" max="6400" width="9" style="210"/>
    <col min="6401" max="6401" width="4.875" style="210" customWidth="1"/>
    <col min="6402" max="6403" width="10.625" style="210" customWidth="1"/>
    <col min="6404" max="6404" width="14.625" style="210" customWidth="1"/>
    <col min="6405" max="6405" width="15.75" style="210" customWidth="1"/>
    <col min="6406" max="6656" width="9" style="210"/>
    <col min="6657" max="6657" width="4.875" style="210" customWidth="1"/>
    <col min="6658" max="6659" width="10.625" style="210" customWidth="1"/>
    <col min="6660" max="6660" width="14.625" style="210" customWidth="1"/>
    <col min="6661" max="6661" width="15.75" style="210" customWidth="1"/>
    <col min="6662" max="6912" width="9" style="210"/>
    <col min="6913" max="6913" width="4.875" style="210" customWidth="1"/>
    <col min="6914" max="6915" width="10.625" style="210" customWidth="1"/>
    <col min="6916" max="6916" width="14.625" style="210" customWidth="1"/>
    <col min="6917" max="6917" width="15.75" style="210" customWidth="1"/>
    <col min="6918" max="7168" width="9" style="210"/>
    <col min="7169" max="7169" width="4.875" style="210" customWidth="1"/>
    <col min="7170" max="7171" width="10.625" style="210" customWidth="1"/>
    <col min="7172" max="7172" width="14.625" style="210" customWidth="1"/>
    <col min="7173" max="7173" width="15.75" style="210" customWidth="1"/>
    <col min="7174" max="7424" width="9" style="210"/>
    <col min="7425" max="7425" width="4.875" style="210" customWidth="1"/>
    <col min="7426" max="7427" width="10.625" style="210" customWidth="1"/>
    <col min="7428" max="7428" width="14.625" style="210" customWidth="1"/>
    <col min="7429" max="7429" width="15.75" style="210" customWidth="1"/>
    <col min="7430" max="7680" width="9" style="210"/>
    <col min="7681" max="7681" width="4.875" style="210" customWidth="1"/>
    <col min="7682" max="7683" width="10.625" style="210" customWidth="1"/>
    <col min="7684" max="7684" width="14.625" style="210" customWidth="1"/>
    <col min="7685" max="7685" width="15.75" style="210" customWidth="1"/>
    <col min="7686" max="7936" width="9" style="210"/>
    <col min="7937" max="7937" width="4.875" style="210" customWidth="1"/>
    <col min="7938" max="7939" width="10.625" style="210" customWidth="1"/>
    <col min="7940" max="7940" width="14.625" style="210" customWidth="1"/>
    <col min="7941" max="7941" width="15.75" style="210" customWidth="1"/>
    <col min="7942" max="8192" width="9" style="210"/>
    <col min="8193" max="8193" width="4.875" style="210" customWidth="1"/>
    <col min="8194" max="8195" width="10.625" style="210" customWidth="1"/>
    <col min="8196" max="8196" width="14.625" style="210" customWidth="1"/>
    <col min="8197" max="8197" width="15.75" style="210" customWidth="1"/>
    <col min="8198" max="8448" width="9" style="210"/>
    <col min="8449" max="8449" width="4.875" style="210" customWidth="1"/>
    <col min="8450" max="8451" width="10.625" style="210" customWidth="1"/>
    <col min="8452" max="8452" width="14.625" style="210" customWidth="1"/>
    <col min="8453" max="8453" width="15.75" style="210" customWidth="1"/>
    <col min="8454" max="8704" width="9" style="210"/>
    <col min="8705" max="8705" width="4.875" style="210" customWidth="1"/>
    <col min="8706" max="8707" width="10.625" style="210" customWidth="1"/>
    <col min="8708" max="8708" width="14.625" style="210" customWidth="1"/>
    <col min="8709" max="8709" width="15.75" style="210" customWidth="1"/>
    <col min="8710" max="8960" width="9" style="210"/>
    <col min="8961" max="8961" width="4.875" style="210" customWidth="1"/>
    <col min="8962" max="8963" width="10.625" style="210" customWidth="1"/>
    <col min="8964" max="8964" width="14.625" style="210" customWidth="1"/>
    <col min="8965" max="8965" width="15.75" style="210" customWidth="1"/>
    <col min="8966" max="9216" width="9" style="210"/>
    <col min="9217" max="9217" width="4.875" style="210" customWidth="1"/>
    <col min="9218" max="9219" width="10.625" style="210" customWidth="1"/>
    <col min="9220" max="9220" width="14.625" style="210" customWidth="1"/>
    <col min="9221" max="9221" width="15.75" style="210" customWidth="1"/>
    <col min="9222" max="9472" width="9" style="210"/>
    <col min="9473" max="9473" width="4.875" style="210" customWidth="1"/>
    <col min="9474" max="9475" width="10.625" style="210" customWidth="1"/>
    <col min="9476" max="9476" width="14.625" style="210" customWidth="1"/>
    <col min="9477" max="9477" width="15.75" style="210" customWidth="1"/>
    <col min="9478" max="9728" width="9" style="210"/>
    <col min="9729" max="9729" width="4.875" style="210" customWidth="1"/>
    <col min="9730" max="9731" width="10.625" style="210" customWidth="1"/>
    <col min="9732" max="9732" width="14.625" style="210" customWidth="1"/>
    <col min="9733" max="9733" width="15.75" style="210" customWidth="1"/>
    <col min="9734" max="9984" width="9" style="210"/>
    <col min="9985" max="9985" width="4.875" style="210" customWidth="1"/>
    <col min="9986" max="9987" width="10.625" style="210" customWidth="1"/>
    <col min="9988" max="9988" width="14.625" style="210" customWidth="1"/>
    <col min="9989" max="9989" width="15.75" style="210" customWidth="1"/>
    <col min="9990" max="10240" width="9" style="210"/>
    <col min="10241" max="10241" width="4.875" style="210" customWidth="1"/>
    <col min="10242" max="10243" width="10.625" style="210" customWidth="1"/>
    <col min="10244" max="10244" width="14.625" style="210" customWidth="1"/>
    <col min="10245" max="10245" width="15.75" style="210" customWidth="1"/>
    <col min="10246" max="10496" width="9" style="210"/>
    <col min="10497" max="10497" width="4.875" style="210" customWidth="1"/>
    <col min="10498" max="10499" width="10.625" style="210" customWidth="1"/>
    <col min="10500" max="10500" width="14.625" style="210" customWidth="1"/>
    <col min="10501" max="10501" width="15.75" style="210" customWidth="1"/>
    <col min="10502" max="10752" width="9" style="210"/>
    <col min="10753" max="10753" width="4.875" style="210" customWidth="1"/>
    <col min="10754" max="10755" width="10.625" style="210" customWidth="1"/>
    <col min="10756" max="10756" width="14.625" style="210" customWidth="1"/>
    <col min="10757" max="10757" width="15.75" style="210" customWidth="1"/>
    <col min="10758" max="11008" width="9" style="210"/>
    <col min="11009" max="11009" width="4.875" style="210" customWidth="1"/>
    <col min="11010" max="11011" width="10.625" style="210" customWidth="1"/>
    <col min="11012" max="11012" width="14.625" style="210" customWidth="1"/>
    <col min="11013" max="11013" width="15.75" style="210" customWidth="1"/>
    <col min="11014" max="11264" width="9" style="210"/>
    <col min="11265" max="11265" width="4.875" style="210" customWidth="1"/>
    <col min="11266" max="11267" width="10.625" style="210" customWidth="1"/>
    <col min="11268" max="11268" width="14.625" style="210" customWidth="1"/>
    <col min="11269" max="11269" width="15.75" style="210" customWidth="1"/>
    <col min="11270" max="11520" width="9" style="210"/>
    <col min="11521" max="11521" width="4.875" style="210" customWidth="1"/>
    <col min="11522" max="11523" width="10.625" style="210" customWidth="1"/>
    <col min="11524" max="11524" width="14.625" style="210" customWidth="1"/>
    <col min="11525" max="11525" width="15.75" style="210" customWidth="1"/>
    <col min="11526" max="11776" width="9" style="210"/>
    <col min="11777" max="11777" width="4.875" style="210" customWidth="1"/>
    <col min="11778" max="11779" width="10.625" style="210" customWidth="1"/>
    <col min="11780" max="11780" width="14.625" style="210" customWidth="1"/>
    <col min="11781" max="11781" width="15.75" style="210" customWidth="1"/>
    <col min="11782" max="12032" width="9" style="210"/>
    <col min="12033" max="12033" width="4.875" style="210" customWidth="1"/>
    <col min="12034" max="12035" width="10.625" style="210" customWidth="1"/>
    <col min="12036" max="12036" width="14.625" style="210" customWidth="1"/>
    <col min="12037" max="12037" width="15.75" style="210" customWidth="1"/>
    <col min="12038" max="12288" width="9" style="210"/>
    <col min="12289" max="12289" width="4.875" style="210" customWidth="1"/>
    <col min="12290" max="12291" width="10.625" style="210" customWidth="1"/>
    <col min="12292" max="12292" width="14.625" style="210" customWidth="1"/>
    <col min="12293" max="12293" width="15.75" style="210" customWidth="1"/>
    <col min="12294" max="12544" width="9" style="210"/>
    <col min="12545" max="12545" width="4.875" style="210" customWidth="1"/>
    <col min="12546" max="12547" width="10.625" style="210" customWidth="1"/>
    <col min="12548" max="12548" width="14.625" style="210" customWidth="1"/>
    <col min="12549" max="12549" width="15.75" style="210" customWidth="1"/>
    <col min="12550" max="12800" width="9" style="210"/>
    <col min="12801" max="12801" width="4.875" style="210" customWidth="1"/>
    <col min="12802" max="12803" width="10.625" style="210" customWidth="1"/>
    <col min="12804" max="12804" width="14.625" style="210" customWidth="1"/>
    <col min="12805" max="12805" width="15.75" style="210" customWidth="1"/>
    <col min="12806" max="13056" width="9" style="210"/>
    <col min="13057" max="13057" width="4.875" style="210" customWidth="1"/>
    <col min="13058" max="13059" width="10.625" style="210" customWidth="1"/>
    <col min="13060" max="13060" width="14.625" style="210" customWidth="1"/>
    <col min="13061" max="13061" width="15.75" style="210" customWidth="1"/>
    <col min="13062" max="13312" width="9" style="210"/>
    <col min="13313" max="13313" width="4.875" style="210" customWidth="1"/>
    <col min="13314" max="13315" width="10.625" style="210" customWidth="1"/>
    <col min="13316" max="13316" width="14.625" style="210" customWidth="1"/>
    <col min="13317" max="13317" width="15.75" style="210" customWidth="1"/>
    <col min="13318" max="13568" width="9" style="210"/>
    <col min="13569" max="13569" width="4.875" style="210" customWidth="1"/>
    <col min="13570" max="13571" width="10.625" style="210" customWidth="1"/>
    <col min="13572" max="13572" width="14.625" style="210" customWidth="1"/>
    <col min="13573" max="13573" width="15.75" style="210" customWidth="1"/>
    <col min="13574" max="13824" width="9" style="210"/>
    <col min="13825" max="13825" width="4.875" style="210" customWidth="1"/>
    <col min="13826" max="13827" width="10.625" style="210" customWidth="1"/>
    <col min="13828" max="13828" width="14.625" style="210" customWidth="1"/>
    <col min="13829" max="13829" width="15.75" style="210" customWidth="1"/>
    <col min="13830" max="14080" width="9" style="210"/>
    <col min="14081" max="14081" width="4.875" style="210" customWidth="1"/>
    <col min="14082" max="14083" width="10.625" style="210" customWidth="1"/>
    <col min="14084" max="14084" width="14.625" style="210" customWidth="1"/>
    <col min="14085" max="14085" width="15.75" style="210" customWidth="1"/>
    <col min="14086" max="14336" width="9" style="210"/>
    <col min="14337" max="14337" width="4.875" style="210" customWidth="1"/>
    <col min="14338" max="14339" width="10.625" style="210" customWidth="1"/>
    <col min="14340" max="14340" width="14.625" style="210" customWidth="1"/>
    <col min="14341" max="14341" width="15.75" style="210" customWidth="1"/>
    <col min="14342" max="14592" width="9" style="210"/>
    <col min="14593" max="14593" width="4.875" style="210" customWidth="1"/>
    <col min="14594" max="14595" width="10.625" style="210" customWidth="1"/>
    <col min="14596" max="14596" width="14.625" style="210" customWidth="1"/>
    <col min="14597" max="14597" width="15.75" style="210" customWidth="1"/>
    <col min="14598" max="14848" width="9" style="210"/>
    <col min="14849" max="14849" width="4.875" style="210" customWidth="1"/>
    <col min="14850" max="14851" width="10.625" style="210" customWidth="1"/>
    <col min="14852" max="14852" width="14.625" style="210" customWidth="1"/>
    <col min="14853" max="14853" width="15.75" style="210" customWidth="1"/>
    <col min="14854" max="15104" width="9" style="210"/>
    <col min="15105" max="15105" width="4.875" style="210" customWidth="1"/>
    <col min="15106" max="15107" width="10.625" style="210" customWidth="1"/>
    <col min="15108" max="15108" width="14.625" style="210" customWidth="1"/>
    <col min="15109" max="15109" width="15.75" style="210" customWidth="1"/>
    <col min="15110" max="15360" width="9" style="210"/>
    <col min="15361" max="15361" width="4.875" style="210" customWidth="1"/>
    <col min="15362" max="15363" width="10.625" style="210" customWidth="1"/>
    <col min="15364" max="15364" width="14.625" style="210" customWidth="1"/>
    <col min="15365" max="15365" width="15.75" style="210" customWidth="1"/>
    <col min="15366" max="15616" width="9" style="210"/>
    <col min="15617" max="15617" width="4.875" style="210" customWidth="1"/>
    <col min="15618" max="15619" width="10.625" style="210" customWidth="1"/>
    <col min="15620" max="15620" width="14.625" style="210" customWidth="1"/>
    <col min="15621" max="15621" width="15.75" style="210" customWidth="1"/>
    <col min="15622" max="15872" width="9" style="210"/>
    <col min="15873" max="15873" width="4.875" style="210" customWidth="1"/>
    <col min="15874" max="15875" width="10.625" style="210" customWidth="1"/>
    <col min="15876" max="15876" width="14.625" style="210" customWidth="1"/>
    <col min="15877" max="15877" width="15.75" style="210" customWidth="1"/>
    <col min="15878" max="16128" width="9" style="210"/>
    <col min="16129" max="16129" width="4.875" style="210" customWidth="1"/>
    <col min="16130" max="16131" width="10.625" style="210" customWidth="1"/>
    <col min="16132" max="16132" width="14.625" style="210" customWidth="1"/>
    <col min="16133" max="16133" width="15.75" style="210" customWidth="1"/>
    <col min="16134" max="16384" width="9" style="210"/>
  </cols>
  <sheetData>
    <row r="1" spans="1:11" customFormat="1" ht="23.25">
      <c r="A1" s="866" t="s">
        <v>253</v>
      </c>
      <c r="B1" s="866"/>
      <c r="C1" s="866"/>
      <c r="D1" s="866"/>
      <c r="E1" s="866"/>
      <c r="H1" s="350"/>
    </row>
    <row r="2" spans="1:11" customFormat="1">
      <c r="A2" s="867" t="s">
        <v>252</v>
      </c>
      <c r="B2" s="867"/>
      <c r="C2" s="867"/>
      <c r="D2" s="867"/>
      <c r="E2" s="867"/>
      <c r="H2" s="350"/>
    </row>
    <row r="3" spans="1:11" customFormat="1">
      <c r="A3" s="892" t="s">
        <v>249</v>
      </c>
      <c r="B3" s="892"/>
      <c r="C3" s="892"/>
      <c r="D3" s="892"/>
      <c r="E3" s="892"/>
      <c r="H3" s="350"/>
    </row>
    <row r="4" spans="1:11" ht="16.5" thickBot="1"/>
    <row r="5" spans="1:11" ht="30" customHeight="1" thickBot="1">
      <c r="A5" s="347" t="s">
        <v>4</v>
      </c>
      <c r="B5" s="888" t="s">
        <v>189</v>
      </c>
      <c r="C5" s="889"/>
      <c r="D5" s="348" t="s">
        <v>34</v>
      </c>
      <c r="E5" s="349" t="s">
        <v>190</v>
      </c>
    </row>
    <row r="6" spans="1:11" ht="13.5" customHeight="1" thickTop="1">
      <c r="A6" s="324"/>
      <c r="B6" s="325"/>
      <c r="C6" s="326"/>
      <c r="D6" s="327"/>
      <c r="E6" s="328"/>
      <c r="F6" s="211"/>
    </row>
    <row r="7" spans="1:11" ht="13.5" customHeight="1">
      <c r="A7" s="334">
        <v>1</v>
      </c>
      <c r="B7" s="335">
        <v>42108</v>
      </c>
      <c r="C7" s="336">
        <f>B7+12</f>
        <v>42120</v>
      </c>
      <c r="D7" s="337">
        <f>'Rincian harian MC0'!F8</f>
        <v>8650000</v>
      </c>
      <c r="E7" s="338"/>
      <c r="F7" s="211"/>
      <c r="G7" s="352">
        <f>H7</f>
        <v>5.0548571801236697E-3</v>
      </c>
      <c r="H7" s="351">
        <f>D7/$D$20</f>
        <v>5.0548571801236697E-3</v>
      </c>
      <c r="I7" s="211" t="s">
        <v>254</v>
      </c>
    </row>
    <row r="8" spans="1:11" ht="13.5" customHeight="1">
      <c r="A8" s="329">
        <f>A7+1</f>
        <v>2</v>
      </c>
      <c r="B8" s="330">
        <f t="shared" ref="B8:B13" si="0">C7+1</f>
        <v>42121</v>
      </c>
      <c r="C8" s="331">
        <f>B8+13</f>
        <v>42134</v>
      </c>
      <c r="D8" s="332">
        <f>'Rincian harian MC0'!F27</f>
        <v>61439450</v>
      </c>
      <c r="E8" s="333"/>
      <c r="F8" s="211"/>
      <c r="G8" s="352">
        <f>G7+H8</f>
        <v>4.0958631165713175E-2</v>
      </c>
      <c r="H8" s="351">
        <f t="shared" ref="H8:H16" si="1">D8/$D$20</f>
        <v>3.5903773985589506E-2</v>
      </c>
      <c r="I8" s="211" t="s">
        <v>254</v>
      </c>
      <c r="K8" s="210">
        <f>C7-B7</f>
        <v>12</v>
      </c>
    </row>
    <row r="9" spans="1:11" ht="13.5" customHeight="1">
      <c r="A9" s="334">
        <f t="shared" ref="A9:A18" si="2">A8+1</f>
        <v>3</v>
      </c>
      <c r="B9" s="335">
        <f t="shared" si="0"/>
        <v>42135</v>
      </c>
      <c r="C9" s="336">
        <f>B9+13</f>
        <v>42148</v>
      </c>
      <c r="D9" s="337">
        <f>'Rincian harian MC0'!F157</f>
        <v>166918354.34782609</v>
      </c>
      <c r="E9" s="338"/>
      <c r="F9" s="211"/>
      <c r="G9" s="352">
        <f t="shared" ref="G9:G16" si="3">G8+H9</f>
        <v>0.13850180364774042</v>
      </c>
      <c r="H9" s="351">
        <f t="shared" si="1"/>
        <v>9.7543172482027249E-2</v>
      </c>
      <c r="I9" s="211" t="s">
        <v>254</v>
      </c>
      <c r="K9" s="210">
        <f t="shared" ref="K9:K18" si="4">C8-B8</f>
        <v>13</v>
      </c>
    </row>
    <row r="10" spans="1:11" ht="13.5" customHeight="1">
      <c r="A10" s="329">
        <f t="shared" si="2"/>
        <v>4</v>
      </c>
      <c r="B10" s="330">
        <f t="shared" si="0"/>
        <v>42149</v>
      </c>
      <c r="C10" s="331">
        <f>B10+13</f>
        <v>42162</v>
      </c>
      <c r="D10" s="332">
        <f>'Rincian harian MC0'!F382</f>
        <v>337031252.17391312</v>
      </c>
      <c r="E10" s="333"/>
      <c r="F10" s="211"/>
      <c r="G10" s="352">
        <f t="shared" si="3"/>
        <v>0.33545496491680121</v>
      </c>
      <c r="H10" s="351">
        <f t="shared" si="1"/>
        <v>0.19695316126906079</v>
      </c>
      <c r="I10" s="211" t="s">
        <v>254</v>
      </c>
      <c r="K10" s="210">
        <f t="shared" si="4"/>
        <v>13</v>
      </c>
    </row>
    <row r="11" spans="1:11" ht="13.5" customHeight="1">
      <c r="A11" s="334">
        <f t="shared" si="2"/>
        <v>5</v>
      </c>
      <c r="B11" s="335">
        <f t="shared" si="0"/>
        <v>42163</v>
      </c>
      <c r="C11" s="336">
        <f>B11+13</f>
        <v>42176</v>
      </c>
      <c r="D11" s="337">
        <f>'Rincian harian MC0'!F622</f>
        <v>315926252.17391312</v>
      </c>
      <c r="E11" s="338"/>
      <c r="F11" s="211"/>
      <c r="G11" s="352">
        <f t="shared" si="3"/>
        <v>0.52007485904291284</v>
      </c>
      <c r="H11" s="351">
        <f t="shared" si="1"/>
        <v>0.18461989412611166</v>
      </c>
      <c r="I11" s="211" t="s">
        <v>254</v>
      </c>
      <c r="K11" s="210">
        <f t="shared" si="4"/>
        <v>13</v>
      </c>
    </row>
    <row r="12" spans="1:11" ht="13.5" customHeight="1">
      <c r="A12" s="329">
        <f t="shared" si="2"/>
        <v>6</v>
      </c>
      <c r="B12" s="330">
        <f t="shared" si="0"/>
        <v>42177</v>
      </c>
      <c r="C12" s="331">
        <f>B12+13</f>
        <v>42190</v>
      </c>
      <c r="D12" s="332">
        <f>'Rincian harian MC0'!F799</f>
        <v>291289591.30434787</v>
      </c>
      <c r="E12" s="333"/>
      <c r="F12" s="211"/>
      <c r="G12" s="352">
        <f t="shared" si="3"/>
        <v>0.69029766622211186</v>
      </c>
      <c r="H12" s="351">
        <f t="shared" si="1"/>
        <v>0.17022280717919908</v>
      </c>
      <c r="I12" s="211" t="s">
        <v>254</v>
      </c>
      <c r="K12" s="210">
        <f t="shared" si="4"/>
        <v>13</v>
      </c>
    </row>
    <row r="13" spans="1:11" ht="13.5" customHeight="1">
      <c r="A13" s="334">
        <f t="shared" si="2"/>
        <v>7</v>
      </c>
      <c r="B13" s="335">
        <f t="shared" si="0"/>
        <v>42191</v>
      </c>
      <c r="C13" s="336">
        <f>B13+6</f>
        <v>42197</v>
      </c>
      <c r="D13" s="337">
        <f>'Rincian harian MC0'!F941</f>
        <v>61719000</v>
      </c>
      <c r="E13" s="338"/>
      <c r="F13" s="211"/>
      <c r="G13" s="352">
        <f t="shared" si="3"/>
        <v>0.72636480267298498</v>
      </c>
      <c r="H13" s="351">
        <f t="shared" si="1"/>
        <v>3.6067136450873151E-2</v>
      </c>
      <c r="I13" s="211" t="s">
        <v>254</v>
      </c>
      <c r="K13" s="210">
        <f t="shared" si="4"/>
        <v>13</v>
      </c>
    </row>
    <row r="14" spans="1:11" ht="13.5" customHeight="1">
      <c r="A14" s="329">
        <f t="shared" si="2"/>
        <v>8</v>
      </c>
      <c r="B14" s="330">
        <v>42212</v>
      </c>
      <c r="C14" s="331">
        <f>B14+13</f>
        <v>42225</v>
      </c>
      <c r="D14" s="332">
        <f>'Rincian harian MC0'!F1008</f>
        <v>123438000</v>
      </c>
      <c r="E14" s="333"/>
      <c r="F14" s="211"/>
      <c r="G14" s="352">
        <f t="shared" si="3"/>
        <v>0.79849907557473132</v>
      </c>
      <c r="H14" s="351">
        <f t="shared" si="1"/>
        <v>7.2134272901746302E-2</v>
      </c>
      <c r="I14" s="211" t="s">
        <v>254</v>
      </c>
      <c r="K14" s="210">
        <f t="shared" si="4"/>
        <v>6</v>
      </c>
    </row>
    <row r="15" spans="1:11" ht="13.5" customHeight="1">
      <c r="A15" s="334">
        <f t="shared" si="2"/>
        <v>9</v>
      </c>
      <c r="B15" s="335">
        <f>C14+1</f>
        <v>42226</v>
      </c>
      <c r="C15" s="336">
        <f>B15+13</f>
        <v>42239</v>
      </c>
      <c r="D15" s="337">
        <f>'Rincian harian MC0'!F1137</f>
        <v>111071000</v>
      </c>
      <c r="E15" s="338"/>
      <c r="F15" s="211"/>
      <c r="G15" s="352">
        <f t="shared" si="3"/>
        <v>0.86340636365028234</v>
      </c>
      <c r="H15" s="351">
        <f t="shared" si="1"/>
        <v>6.4907288075551003E-2</v>
      </c>
      <c r="I15" s="211" t="s">
        <v>254</v>
      </c>
      <c r="K15" s="210">
        <f t="shared" si="4"/>
        <v>13</v>
      </c>
    </row>
    <row r="16" spans="1:11" ht="13.5" customHeight="1">
      <c r="A16" s="329">
        <f t="shared" si="2"/>
        <v>10</v>
      </c>
      <c r="B16" s="330">
        <f>C15+1</f>
        <v>42240</v>
      </c>
      <c r="C16" s="331">
        <f>B16+13</f>
        <v>42253</v>
      </c>
      <c r="D16" s="332">
        <f>'Rincian harian MC0'!F1282</f>
        <v>77472700</v>
      </c>
      <c r="E16" s="333"/>
      <c r="F16" s="211"/>
      <c r="G16" s="352">
        <f t="shared" si="3"/>
        <v>0.90867959299809353</v>
      </c>
      <c r="H16" s="351">
        <f t="shared" si="1"/>
        <v>4.5273229347811215E-2</v>
      </c>
      <c r="I16" s="211" t="s">
        <v>254</v>
      </c>
      <c r="K16" s="210">
        <f t="shared" si="4"/>
        <v>13</v>
      </c>
    </row>
    <row r="17" spans="1:11" ht="13.5" customHeight="1">
      <c r="A17" s="595">
        <f t="shared" si="2"/>
        <v>11</v>
      </c>
      <c r="B17" s="330">
        <f>C16+1</f>
        <v>42254</v>
      </c>
      <c r="C17" s="331">
        <f>B17+13</f>
        <v>42267</v>
      </c>
      <c r="D17" s="596">
        <f>'Rincian harian MC0'!F1429</f>
        <v>98367800</v>
      </c>
      <c r="E17" s="597"/>
      <c r="F17" s="211"/>
      <c r="G17" s="352">
        <f t="shared" ref="G17:G18" si="5">G16+H17</f>
        <v>0.96616342885045992</v>
      </c>
      <c r="H17" s="351">
        <f t="shared" ref="H17:H18" si="6">D17/$D$20</f>
        <v>5.7483835852366369E-2</v>
      </c>
      <c r="I17" s="211" t="s">
        <v>254</v>
      </c>
      <c r="K17" s="210">
        <f t="shared" si="4"/>
        <v>13</v>
      </c>
    </row>
    <row r="18" spans="1:11" ht="13.5" customHeight="1">
      <c r="A18" s="595">
        <f t="shared" si="2"/>
        <v>12</v>
      </c>
      <c r="B18" s="330">
        <f>C17+1</f>
        <v>42268</v>
      </c>
      <c r="C18" s="331">
        <f>B18+5</f>
        <v>42273</v>
      </c>
      <c r="D18" s="596">
        <f>'Rincian harian MC0'!F1554</f>
        <v>57902000</v>
      </c>
      <c r="E18" s="597"/>
      <c r="F18" s="211"/>
      <c r="G18" s="352">
        <f t="shared" si="5"/>
        <v>0.99999999999999989</v>
      </c>
      <c r="H18" s="351">
        <f t="shared" si="6"/>
        <v>3.3836571149539967E-2</v>
      </c>
      <c r="I18" s="211" t="s">
        <v>254</v>
      </c>
      <c r="K18" s="210">
        <f t="shared" si="4"/>
        <v>13</v>
      </c>
    </row>
    <row r="19" spans="1:11" ht="13.5" customHeight="1" thickBot="1">
      <c r="A19" s="339"/>
      <c r="B19" s="340"/>
      <c r="C19" s="341"/>
      <c r="D19" s="342"/>
      <c r="E19" s="343"/>
      <c r="F19" s="211"/>
    </row>
    <row r="20" spans="1:11" ht="13.5" customHeight="1" thickTop="1" thickBot="1">
      <c r="A20" s="344"/>
      <c r="B20" s="890" t="s">
        <v>129</v>
      </c>
      <c r="C20" s="891"/>
      <c r="D20" s="345">
        <f>SUM(D7:D19)</f>
        <v>1711225400.0000002</v>
      </c>
      <c r="E20" s="346"/>
      <c r="F20" s="211"/>
      <c r="H20" s="351">
        <f>SUM(H7:H19)</f>
        <v>0.99999999999999989</v>
      </c>
      <c r="I20" s="211" t="s">
        <v>254</v>
      </c>
      <c r="K20" s="507">
        <f>'Rekap Budget'!H25</f>
        <v>1711225400</v>
      </c>
    </row>
    <row r="22" spans="1:11">
      <c r="K22" s="508">
        <f>K20-D20</f>
        <v>0</v>
      </c>
    </row>
  </sheetData>
  <mergeCells count="5">
    <mergeCell ref="B5:C5"/>
    <mergeCell ref="B20:C20"/>
    <mergeCell ref="A1:E1"/>
    <mergeCell ref="A2:E2"/>
    <mergeCell ref="A3:E3"/>
  </mergeCells>
  <pageMargins left="1.24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J1611"/>
  <sheetViews>
    <sheetView view="pageBreakPreview" topLeftCell="A1600" zoomScale="98" zoomScaleNormal="100" zoomScaleSheetLayoutView="98" workbookViewId="0">
      <selection activeCell="B1583" sqref="B1583"/>
    </sheetView>
  </sheetViews>
  <sheetFormatPr defaultColWidth="10.875" defaultRowHeight="12.75"/>
  <cols>
    <col min="1" max="1" width="4.625" style="212" customWidth="1"/>
    <col min="2" max="2" width="13.375" style="213" customWidth="1"/>
    <col min="3" max="3" width="11.625" style="212" customWidth="1"/>
    <col min="4" max="4" width="13.125" style="214" customWidth="1"/>
    <col min="5" max="5" width="53.875" style="215" customWidth="1"/>
    <col min="6" max="6" width="14" style="216" customWidth="1"/>
    <col min="7" max="7" width="18.25" style="217" customWidth="1"/>
    <col min="8" max="8" width="15.875" style="227" customWidth="1"/>
    <col min="9" max="256" width="10.875" style="227"/>
    <col min="257" max="257" width="4.625" style="227" customWidth="1"/>
    <col min="258" max="258" width="13.375" style="227" customWidth="1"/>
    <col min="259" max="259" width="11.625" style="227" customWidth="1"/>
    <col min="260" max="260" width="13.125" style="227" customWidth="1"/>
    <col min="261" max="261" width="51.5" style="227" customWidth="1"/>
    <col min="262" max="262" width="14" style="227" customWidth="1"/>
    <col min="263" max="263" width="18.25" style="227" customWidth="1"/>
    <col min="264" max="264" width="15.875" style="227" customWidth="1"/>
    <col min="265" max="512" width="10.875" style="227"/>
    <col min="513" max="513" width="4.625" style="227" customWidth="1"/>
    <col min="514" max="514" width="13.375" style="227" customWidth="1"/>
    <col min="515" max="515" width="11.625" style="227" customWidth="1"/>
    <col min="516" max="516" width="13.125" style="227" customWidth="1"/>
    <col min="517" max="517" width="51.5" style="227" customWidth="1"/>
    <col min="518" max="518" width="14" style="227" customWidth="1"/>
    <col min="519" max="519" width="18.25" style="227" customWidth="1"/>
    <col min="520" max="520" width="15.875" style="227" customWidth="1"/>
    <col min="521" max="768" width="10.875" style="227"/>
    <col min="769" max="769" width="4.625" style="227" customWidth="1"/>
    <col min="770" max="770" width="13.375" style="227" customWidth="1"/>
    <col min="771" max="771" width="11.625" style="227" customWidth="1"/>
    <col min="772" max="772" width="13.125" style="227" customWidth="1"/>
    <col min="773" max="773" width="51.5" style="227" customWidth="1"/>
    <col min="774" max="774" width="14" style="227" customWidth="1"/>
    <col min="775" max="775" width="18.25" style="227" customWidth="1"/>
    <col min="776" max="776" width="15.875" style="227" customWidth="1"/>
    <col min="777" max="1024" width="10.875" style="227"/>
    <col min="1025" max="1025" width="4.625" style="227" customWidth="1"/>
    <col min="1026" max="1026" width="13.375" style="227" customWidth="1"/>
    <col min="1027" max="1027" width="11.625" style="227" customWidth="1"/>
    <col min="1028" max="1028" width="13.125" style="227" customWidth="1"/>
    <col min="1029" max="1029" width="51.5" style="227" customWidth="1"/>
    <col min="1030" max="1030" width="14" style="227" customWidth="1"/>
    <col min="1031" max="1031" width="18.25" style="227" customWidth="1"/>
    <col min="1032" max="1032" width="15.875" style="227" customWidth="1"/>
    <col min="1033" max="1280" width="10.875" style="227"/>
    <col min="1281" max="1281" width="4.625" style="227" customWidth="1"/>
    <col min="1282" max="1282" width="13.375" style="227" customWidth="1"/>
    <col min="1283" max="1283" width="11.625" style="227" customWidth="1"/>
    <col min="1284" max="1284" width="13.125" style="227" customWidth="1"/>
    <col min="1285" max="1285" width="51.5" style="227" customWidth="1"/>
    <col min="1286" max="1286" width="14" style="227" customWidth="1"/>
    <col min="1287" max="1287" width="18.25" style="227" customWidth="1"/>
    <col min="1288" max="1288" width="15.875" style="227" customWidth="1"/>
    <col min="1289" max="1536" width="10.875" style="227"/>
    <col min="1537" max="1537" width="4.625" style="227" customWidth="1"/>
    <col min="1538" max="1538" width="13.375" style="227" customWidth="1"/>
    <col min="1539" max="1539" width="11.625" style="227" customWidth="1"/>
    <col min="1540" max="1540" width="13.125" style="227" customWidth="1"/>
    <col min="1541" max="1541" width="51.5" style="227" customWidth="1"/>
    <col min="1542" max="1542" width="14" style="227" customWidth="1"/>
    <col min="1543" max="1543" width="18.25" style="227" customWidth="1"/>
    <col min="1544" max="1544" width="15.875" style="227" customWidth="1"/>
    <col min="1545" max="1792" width="10.875" style="227"/>
    <col min="1793" max="1793" width="4.625" style="227" customWidth="1"/>
    <col min="1794" max="1794" width="13.375" style="227" customWidth="1"/>
    <col min="1795" max="1795" width="11.625" style="227" customWidth="1"/>
    <col min="1796" max="1796" width="13.125" style="227" customWidth="1"/>
    <col min="1797" max="1797" width="51.5" style="227" customWidth="1"/>
    <col min="1798" max="1798" width="14" style="227" customWidth="1"/>
    <col min="1799" max="1799" width="18.25" style="227" customWidth="1"/>
    <col min="1800" max="1800" width="15.875" style="227" customWidth="1"/>
    <col min="1801" max="2048" width="10.875" style="227"/>
    <col min="2049" max="2049" width="4.625" style="227" customWidth="1"/>
    <col min="2050" max="2050" width="13.375" style="227" customWidth="1"/>
    <col min="2051" max="2051" width="11.625" style="227" customWidth="1"/>
    <col min="2052" max="2052" width="13.125" style="227" customWidth="1"/>
    <col min="2053" max="2053" width="51.5" style="227" customWidth="1"/>
    <col min="2054" max="2054" width="14" style="227" customWidth="1"/>
    <col min="2055" max="2055" width="18.25" style="227" customWidth="1"/>
    <col min="2056" max="2056" width="15.875" style="227" customWidth="1"/>
    <col min="2057" max="2304" width="10.875" style="227"/>
    <col min="2305" max="2305" width="4.625" style="227" customWidth="1"/>
    <col min="2306" max="2306" width="13.375" style="227" customWidth="1"/>
    <col min="2307" max="2307" width="11.625" style="227" customWidth="1"/>
    <col min="2308" max="2308" width="13.125" style="227" customWidth="1"/>
    <col min="2309" max="2309" width="51.5" style="227" customWidth="1"/>
    <col min="2310" max="2310" width="14" style="227" customWidth="1"/>
    <col min="2311" max="2311" width="18.25" style="227" customWidth="1"/>
    <col min="2312" max="2312" width="15.875" style="227" customWidth="1"/>
    <col min="2313" max="2560" width="10.875" style="227"/>
    <col min="2561" max="2561" width="4.625" style="227" customWidth="1"/>
    <col min="2562" max="2562" width="13.375" style="227" customWidth="1"/>
    <col min="2563" max="2563" width="11.625" style="227" customWidth="1"/>
    <col min="2564" max="2564" width="13.125" style="227" customWidth="1"/>
    <col min="2565" max="2565" width="51.5" style="227" customWidth="1"/>
    <col min="2566" max="2566" width="14" style="227" customWidth="1"/>
    <col min="2567" max="2567" width="18.25" style="227" customWidth="1"/>
    <col min="2568" max="2568" width="15.875" style="227" customWidth="1"/>
    <col min="2569" max="2816" width="10.875" style="227"/>
    <col min="2817" max="2817" width="4.625" style="227" customWidth="1"/>
    <col min="2818" max="2818" width="13.375" style="227" customWidth="1"/>
    <col min="2819" max="2819" width="11.625" style="227" customWidth="1"/>
    <col min="2820" max="2820" width="13.125" style="227" customWidth="1"/>
    <col min="2821" max="2821" width="51.5" style="227" customWidth="1"/>
    <col min="2822" max="2822" width="14" style="227" customWidth="1"/>
    <col min="2823" max="2823" width="18.25" style="227" customWidth="1"/>
    <col min="2824" max="2824" width="15.875" style="227" customWidth="1"/>
    <col min="2825" max="3072" width="10.875" style="227"/>
    <col min="3073" max="3073" width="4.625" style="227" customWidth="1"/>
    <col min="3074" max="3074" width="13.375" style="227" customWidth="1"/>
    <col min="3075" max="3075" width="11.625" style="227" customWidth="1"/>
    <col min="3076" max="3076" width="13.125" style="227" customWidth="1"/>
    <col min="3077" max="3077" width="51.5" style="227" customWidth="1"/>
    <col min="3078" max="3078" width="14" style="227" customWidth="1"/>
    <col min="3079" max="3079" width="18.25" style="227" customWidth="1"/>
    <col min="3080" max="3080" width="15.875" style="227" customWidth="1"/>
    <col min="3081" max="3328" width="10.875" style="227"/>
    <col min="3329" max="3329" width="4.625" style="227" customWidth="1"/>
    <col min="3330" max="3330" width="13.375" style="227" customWidth="1"/>
    <col min="3331" max="3331" width="11.625" style="227" customWidth="1"/>
    <col min="3332" max="3332" width="13.125" style="227" customWidth="1"/>
    <col min="3333" max="3333" width="51.5" style="227" customWidth="1"/>
    <col min="3334" max="3334" width="14" style="227" customWidth="1"/>
    <col min="3335" max="3335" width="18.25" style="227" customWidth="1"/>
    <col min="3336" max="3336" width="15.875" style="227" customWidth="1"/>
    <col min="3337" max="3584" width="10.875" style="227"/>
    <col min="3585" max="3585" width="4.625" style="227" customWidth="1"/>
    <col min="3586" max="3586" width="13.375" style="227" customWidth="1"/>
    <col min="3587" max="3587" width="11.625" style="227" customWidth="1"/>
    <col min="3588" max="3588" width="13.125" style="227" customWidth="1"/>
    <col min="3589" max="3589" width="51.5" style="227" customWidth="1"/>
    <col min="3590" max="3590" width="14" style="227" customWidth="1"/>
    <col min="3591" max="3591" width="18.25" style="227" customWidth="1"/>
    <col min="3592" max="3592" width="15.875" style="227" customWidth="1"/>
    <col min="3593" max="3840" width="10.875" style="227"/>
    <col min="3841" max="3841" width="4.625" style="227" customWidth="1"/>
    <col min="3842" max="3842" width="13.375" style="227" customWidth="1"/>
    <col min="3843" max="3843" width="11.625" style="227" customWidth="1"/>
    <col min="3844" max="3844" width="13.125" style="227" customWidth="1"/>
    <col min="3845" max="3845" width="51.5" style="227" customWidth="1"/>
    <col min="3846" max="3846" width="14" style="227" customWidth="1"/>
    <col min="3847" max="3847" width="18.25" style="227" customWidth="1"/>
    <col min="3848" max="3848" width="15.875" style="227" customWidth="1"/>
    <col min="3849" max="4096" width="10.875" style="227"/>
    <col min="4097" max="4097" width="4.625" style="227" customWidth="1"/>
    <col min="4098" max="4098" width="13.375" style="227" customWidth="1"/>
    <col min="4099" max="4099" width="11.625" style="227" customWidth="1"/>
    <col min="4100" max="4100" width="13.125" style="227" customWidth="1"/>
    <col min="4101" max="4101" width="51.5" style="227" customWidth="1"/>
    <col min="4102" max="4102" width="14" style="227" customWidth="1"/>
    <col min="4103" max="4103" width="18.25" style="227" customWidth="1"/>
    <col min="4104" max="4104" width="15.875" style="227" customWidth="1"/>
    <col min="4105" max="4352" width="10.875" style="227"/>
    <col min="4353" max="4353" width="4.625" style="227" customWidth="1"/>
    <col min="4354" max="4354" width="13.375" style="227" customWidth="1"/>
    <col min="4355" max="4355" width="11.625" style="227" customWidth="1"/>
    <col min="4356" max="4356" width="13.125" style="227" customWidth="1"/>
    <col min="4357" max="4357" width="51.5" style="227" customWidth="1"/>
    <col min="4358" max="4358" width="14" style="227" customWidth="1"/>
    <col min="4359" max="4359" width="18.25" style="227" customWidth="1"/>
    <col min="4360" max="4360" width="15.875" style="227" customWidth="1"/>
    <col min="4361" max="4608" width="10.875" style="227"/>
    <col min="4609" max="4609" width="4.625" style="227" customWidth="1"/>
    <col min="4610" max="4610" width="13.375" style="227" customWidth="1"/>
    <col min="4611" max="4611" width="11.625" style="227" customWidth="1"/>
    <col min="4612" max="4612" width="13.125" style="227" customWidth="1"/>
    <col min="4613" max="4613" width="51.5" style="227" customWidth="1"/>
    <col min="4614" max="4614" width="14" style="227" customWidth="1"/>
    <col min="4615" max="4615" width="18.25" style="227" customWidth="1"/>
    <col min="4616" max="4616" width="15.875" style="227" customWidth="1"/>
    <col min="4617" max="4864" width="10.875" style="227"/>
    <col min="4865" max="4865" width="4.625" style="227" customWidth="1"/>
    <col min="4866" max="4866" width="13.375" style="227" customWidth="1"/>
    <col min="4867" max="4867" width="11.625" style="227" customWidth="1"/>
    <col min="4868" max="4868" width="13.125" style="227" customWidth="1"/>
    <col min="4869" max="4869" width="51.5" style="227" customWidth="1"/>
    <col min="4870" max="4870" width="14" style="227" customWidth="1"/>
    <col min="4871" max="4871" width="18.25" style="227" customWidth="1"/>
    <col min="4872" max="4872" width="15.875" style="227" customWidth="1"/>
    <col min="4873" max="5120" width="10.875" style="227"/>
    <col min="5121" max="5121" width="4.625" style="227" customWidth="1"/>
    <col min="5122" max="5122" width="13.375" style="227" customWidth="1"/>
    <col min="5123" max="5123" width="11.625" style="227" customWidth="1"/>
    <col min="5124" max="5124" width="13.125" style="227" customWidth="1"/>
    <col min="5125" max="5125" width="51.5" style="227" customWidth="1"/>
    <col min="5126" max="5126" width="14" style="227" customWidth="1"/>
    <col min="5127" max="5127" width="18.25" style="227" customWidth="1"/>
    <col min="5128" max="5128" width="15.875" style="227" customWidth="1"/>
    <col min="5129" max="5376" width="10.875" style="227"/>
    <col min="5377" max="5377" width="4.625" style="227" customWidth="1"/>
    <col min="5378" max="5378" width="13.375" style="227" customWidth="1"/>
    <col min="5379" max="5379" width="11.625" style="227" customWidth="1"/>
    <col min="5380" max="5380" width="13.125" style="227" customWidth="1"/>
    <col min="5381" max="5381" width="51.5" style="227" customWidth="1"/>
    <col min="5382" max="5382" width="14" style="227" customWidth="1"/>
    <col min="5383" max="5383" width="18.25" style="227" customWidth="1"/>
    <col min="5384" max="5384" width="15.875" style="227" customWidth="1"/>
    <col min="5385" max="5632" width="10.875" style="227"/>
    <col min="5633" max="5633" width="4.625" style="227" customWidth="1"/>
    <col min="5634" max="5634" width="13.375" style="227" customWidth="1"/>
    <col min="5635" max="5635" width="11.625" style="227" customWidth="1"/>
    <col min="5636" max="5636" width="13.125" style="227" customWidth="1"/>
    <col min="5637" max="5637" width="51.5" style="227" customWidth="1"/>
    <col min="5638" max="5638" width="14" style="227" customWidth="1"/>
    <col min="5639" max="5639" width="18.25" style="227" customWidth="1"/>
    <col min="5640" max="5640" width="15.875" style="227" customWidth="1"/>
    <col min="5641" max="5888" width="10.875" style="227"/>
    <col min="5889" max="5889" width="4.625" style="227" customWidth="1"/>
    <col min="5890" max="5890" width="13.375" style="227" customWidth="1"/>
    <col min="5891" max="5891" width="11.625" style="227" customWidth="1"/>
    <col min="5892" max="5892" width="13.125" style="227" customWidth="1"/>
    <col min="5893" max="5893" width="51.5" style="227" customWidth="1"/>
    <col min="5894" max="5894" width="14" style="227" customWidth="1"/>
    <col min="5895" max="5895" width="18.25" style="227" customWidth="1"/>
    <col min="5896" max="5896" width="15.875" style="227" customWidth="1"/>
    <col min="5897" max="6144" width="10.875" style="227"/>
    <col min="6145" max="6145" width="4.625" style="227" customWidth="1"/>
    <col min="6146" max="6146" width="13.375" style="227" customWidth="1"/>
    <col min="6147" max="6147" width="11.625" style="227" customWidth="1"/>
    <col min="6148" max="6148" width="13.125" style="227" customWidth="1"/>
    <col min="6149" max="6149" width="51.5" style="227" customWidth="1"/>
    <col min="6150" max="6150" width="14" style="227" customWidth="1"/>
    <col min="6151" max="6151" width="18.25" style="227" customWidth="1"/>
    <col min="6152" max="6152" width="15.875" style="227" customWidth="1"/>
    <col min="6153" max="6400" width="10.875" style="227"/>
    <col min="6401" max="6401" width="4.625" style="227" customWidth="1"/>
    <col min="6402" max="6402" width="13.375" style="227" customWidth="1"/>
    <col min="6403" max="6403" width="11.625" style="227" customWidth="1"/>
    <col min="6404" max="6404" width="13.125" style="227" customWidth="1"/>
    <col min="6405" max="6405" width="51.5" style="227" customWidth="1"/>
    <col min="6406" max="6406" width="14" style="227" customWidth="1"/>
    <col min="6407" max="6407" width="18.25" style="227" customWidth="1"/>
    <col min="6408" max="6408" width="15.875" style="227" customWidth="1"/>
    <col min="6409" max="6656" width="10.875" style="227"/>
    <col min="6657" max="6657" width="4.625" style="227" customWidth="1"/>
    <col min="6658" max="6658" width="13.375" style="227" customWidth="1"/>
    <col min="6659" max="6659" width="11.625" style="227" customWidth="1"/>
    <col min="6660" max="6660" width="13.125" style="227" customWidth="1"/>
    <col min="6661" max="6661" width="51.5" style="227" customWidth="1"/>
    <col min="6662" max="6662" width="14" style="227" customWidth="1"/>
    <col min="6663" max="6663" width="18.25" style="227" customWidth="1"/>
    <col min="6664" max="6664" width="15.875" style="227" customWidth="1"/>
    <col min="6665" max="6912" width="10.875" style="227"/>
    <col min="6913" max="6913" width="4.625" style="227" customWidth="1"/>
    <col min="6914" max="6914" width="13.375" style="227" customWidth="1"/>
    <col min="6915" max="6915" width="11.625" style="227" customWidth="1"/>
    <col min="6916" max="6916" width="13.125" style="227" customWidth="1"/>
    <col min="6917" max="6917" width="51.5" style="227" customWidth="1"/>
    <col min="6918" max="6918" width="14" style="227" customWidth="1"/>
    <col min="6919" max="6919" width="18.25" style="227" customWidth="1"/>
    <col min="6920" max="6920" width="15.875" style="227" customWidth="1"/>
    <col min="6921" max="7168" width="10.875" style="227"/>
    <col min="7169" max="7169" width="4.625" style="227" customWidth="1"/>
    <col min="7170" max="7170" width="13.375" style="227" customWidth="1"/>
    <col min="7171" max="7171" width="11.625" style="227" customWidth="1"/>
    <col min="7172" max="7172" width="13.125" style="227" customWidth="1"/>
    <col min="7173" max="7173" width="51.5" style="227" customWidth="1"/>
    <col min="7174" max="7174" width="14" style="227" customWidth="1"/>
    <col min="7175" max="7175" width="18.25" style="227" customWidth="1"/>
    <col min="7176" max="7176" width="15.875" style="227" customWidth="1"/>
    <col min="7177" max="7424" width="10.875" style="227"/>
    <col min="7425" max="7425" width="4.625" style="227" customWidth="1"/>
    <col min="7426" max="7426" width="13.375" style="227" customWidth="1"/>
    <col min="7427" max="7427" width="11.625" style="227" customWidth="1"/>
    <col min="7428" max="7428" width="13.125" style="227" customWidth="1"/>
    <col min="7429" max="7429" width="51.5" style="227" customWidth="1"/>
    <col min="7430" max="7430" width="14" style="227" customWidth="1"/>
    <col min="7431" max="7431" width="18.25" style="227" customWidth="1"/>
    <col min="7432" max="7432" width="15.875" style="227" customWidth="1"/>
    <col min="7433" max="7680" width="10.875" style="227"/>
    <col min="7681" max="7681" width="4.625" style="227" customWidth="1"/>
    <col min="7682" max="7682" width="13.375" style="227" customWidth="1"/>
    <col min="7683" max="7683" width="11.625" style="227" customWidth="1"/>
    <col min="7684" max="7684" width="13.125" style="227" customWidth="1"/>
    <col min="7685" max="7685" width="51.5" style="227" customWidth="1"/>
    <col min="7686" max="7686" width="14" style="227" customWidth="1"/>
    <col min="7687" max="7687" width="18.25" style="227" customWidth="1"/>
    <col min="7688" max="7688" width="15.875" style="227" customWidth="1"/>
    <col min="7689" max="7936" width="10.875" style="227"/>
    <col min="7937" max="7937" width="4.625" style="227" customWidth="1"/>
    <col min="7938" max="7938" width="13.375" style="227" customWidth="1"/>
    <col min="7939" max="7939" width="11.625" style="227" customWidth="1"/>
    <col min="7940" max="7940" width="13.125" style="227" customWidth="1"/>
    <col min="7941" max="7941" width="51.5" style="227" customWidth="1"/>
    <col min="7942" max="7942" width="14" style="227" customWidth="1"/>
    <col min="7943" max="7943" width="18.25" style="227" customWidth="1"/>
    <col min="7944" max="7944" width="15.875" style="227" customWidth="1"/>
    <col min="7945" max="8192" width="10.875" style="227"/>
    <col min="8193" max="8193" width="4.625" style="227" customWidth="1"/>
    <col min="8194" max="8194" width="13.375" style="227" customWidth="1"/>
    <col min="8195" max="8195" width="11.625" style="227" customWidth="1"/>
    <col min="8196" max="8196" width="13.125" style="227" customWidth="1"/>
    <col min="8197" max="8197" width="51.5" style="227" customWidth="1"/>
    <col min="8198" max="8198" width="14" style="227" customWidth="1"/>
    <col min="8199" max="8199" width="18.25" style="227" customWidth="1"/>
    <col min="8200" max="8200" width="15.875" style="227" customWidth="1"/>
    <col min="8201" max="8448" width="10.875" style="227"/>
    <col min="8449" max="8449" width="4.625" style="227" customWidth="1"/>
    <col min="8450" max="8450" width="13.375" style="227" customWidth="1"/>
    <col min="8451" max="8451" width="11.625" style="227" customWidth="1"/>
    <col min="8452" max="8452" width="13.125" style="227" customWidth="1"/>
    <col min="8453" max="8453" width="51.5" style="227" customWidth="1"/>
    <col min="8454" max="8454" width="14" style="227" customWidth="1"/>
    <col min="8455" max="8455" width="18.25" style="227" customWidth="1"/>
    <col min="8456" max="8456" width="15.875" style="227" customWidth="1"/>
    <col min="8457" max="8704" width="10.875" style="227"/>
    <col min="8705" max="8705" width="4.625" style="227" customWidth="1"/>
    <col min="8706" max="8706" width="13.375" style="227" customWidth="1"/>
    <col min="8707" max="8707" width="11.625" style="227" customWidth="1"/>
    <col min="8708" max="8708" width="13.125" style="227" customWidth="1"/>
    <col min="8709" max="8709" width="51.5" style="227" customWidth="1"/>
    <col min="8710" max="8710" width="14" style="227" customWidth="1"/>
    <col min="8711" max="8711" width="18.25" style="227" customWidth="1"/>
    <col min="8712" max="8712" width="15.875" style="227" customWidth="1"/>
    <col min="8713" max="8960" width="10.875" style="227"/>
    <col min="8961" max="8961" width="4.625" style="227" customWidth="1"/>
    <col min="8962" max="8962" width="13.375" style="227" customWidth="1"/>
    <col min="8963" max="8963" width="11.625" style="227" customWidth="1"/>
    <col min="8964" max="8964" width="13.125" style="227" customWidth="1"/>
    <col min="8965" max="8965" width="51.5" style="227" customWidth="1"/>
    <col min="8966" max="8966" width="14" style="227" customWidth="1"/>
    <col min="8967" max="8967" width="18.25" style="227" customWidth="1"/>
    <col min="8968" max="8968" width="15.875" style="227" customWidth="1"/>
    <col min="8969" max="9216" width="10.875" style="227"/>
    <col min="9217" max="9217" width="4.625" style="227" customWidth="1"/>
    <col min="9218" max="9218" width="13.375" style="227" customWidth="1"/>
    <col min="9219" max="9219" width="11.625" style="227" customWidth="1"/>
    <col min="9220" max="9220" width="13.125" style="227" customWidth="1"/>
    <col min="9221" max="9221" width="51.5" style="227" customWidth="1"/>
    <col min="9222" max="9222" width="14" style="227" customWidth="1"/>
    <col min="9223" max="9223" width="18.25" style="227" customWidth="1"/>
    <col min="9224" max="9224" width="15.875" style="227" customWidth="1"/>
    <col min="9225" max="9472" width="10.875" style="227"/>
    <col min="9473" max="9473" width="4.625" style="227" customWidth="1"/>
    <col min="9474" max="9474" width="13.375" style="227" customWidth="1"/>
    <col min="9475" max="9475" width="11.625" style="227" customWidth="1"/>
    <col min="9476" max="9476" width="13.125" style="227" customWidth="1"/>
    <col min="9477" max="9477" width="51.5" style="227" customWidth="1"/>
    <col min="9478" max="9478" width="14" style="227" customWidth="1"/>
    <col min="9479" max="9479" width="18.25" style="227" customWidth="1"/>
    <col min="9480" max="9480" width="15.875" style="227" customWidth="1"/>
    <col min="9481" max="9728" width="10.875" style="227"/>
    <col min="9729" max="9729" width="4.625" style="227" customWidth="1"/>
    <col min="9730" max="9730" width="13.375" style="227" customWidth="1"/>
    <col min="9731" max="9731" width="11.625" style="227" customWidth="1"/>
    <col min="9732" max="9732" width="13.125" style="227" customWidth="1"/>
    <col min="9733" max="9733" width="51.5" style="227" customWidth="1"/>
    <col min="9734" max="9734" width="14" style="227" customWidth="1"/>
    <col min="9735" max="9735" width="18.25" style="227" customWidth="1"/>
    <col min="9736" max="9736" width="15.875" style="227" customWidth="1"/>
    <col min="9737" max="9984" width="10.875" style="227"/>
    <col min="9985" max="9985" width="4.625" style="227" customWidth="1"/>
    <col min="9986" max="9986" width="13.375" style="227" customWidth="1"/>
    <col min="9987" max="9987" width="11.625" style="227" customWidth="1"/>
    <col min="9988" max="9988" width="13.125" style="227" customWidth="1"/>
    <col min="9989" max="9989" width="51.5" style="227" customWidth="1"/>
    <col min="9990" max="9990" width="14" style="227" customWidth="1"/>
    <col min="9991" max="9991" width="18.25" style="227" customWidth="1"/>
    <col min="9992" max="9992" width="15.875" style="227" customWidth="1"/>
    <col min="9993" max="10240" width="10.875" style="227"/>
    <col min="10241" max="10241" width="4.625" style="227" customWidth="1"/>
    <col min="10242" max="10242" width="13.375" style="227" customWidth="1"/>
    <col min="10243" max="10243" width="11.625" style="227" customWidth="1"/>
    <col min="10244" max="10244" width="13.125" style="227" customWidth="1"/>
    <col min="10245" max="10245" width="51.5" style="227" customWidth="1"/>
    <col min="10246" max="10246" width="14" style="227" customWidth="1"/>
    <col min="10247" max="10247" width="18.25" style="227" customWidth="1"/>
    <col min="10248" max="10248" width="15.875" style="227" customWidth="1"/>
    <col min="10249" max="10496" width="10.875" style="227"/>
    <col min="10497" max="10497" width="4.625" style="227" customWidth="1"/>
    <col min="10498" max="10498" width="13.375" style="227" customWidth="1"/>
    <col min="10499" max="10499" width="11.625" style="227" customWidth="1"/>
    <col min="10500" max="10500" width="13.125" style="227" customWidth="1"/>
    <col min="10501" max="10501" width="51.5" style="227" customWidth="1"/>
    <col min="10502" max="10502" width="14" style="227" customWidth="1"/>
    <col min="10503" max="10503" width="18.25" style="227" customWidth="1"/>
    <col min="10504" max="10504" width="15.875" style="227" customWidth="1"/>
    <col min="10505" max="10752" width="10.875" style="227"/>
    <col min="10753" max="10753" width="4.625" style="227" customWidth="1"/>
    <col min="10754" max="10754" width="13.375" style="227" customWidth="1"/>
    <col min="10755" max="10755" width="11.625" style="227" customWidth="1"/>
    <col min="10756" max="10756" width="13.125" style="227" customWidth="1"/>
    <col min="10757" max="10757" width="51.5" style="227" customWidth="1"/>
    <col min="10758" max="10758" width="14" style="227" customWidth="1"/>
    <col min="10759" max="10759" width="18.25" style="227" customWidth="1"/>
    <col min="10760" max="10760" width="15.875" style="227" customWidth="1"/>
    <col min="10761" max="11008" width="10.875" style="227"/>
    <col min="11009" max="11009" width="4.625" style="227" customWidth="1"/>
    <col min="11010" max="11010" width="13.375" style="227" customWidth="1"/>
    <col min="11011" max="11011" width="11.625" style="227" customWidth="1"/>
    <col min="11012" max="11012" width="13.125" style="227" customWidth="1"/>
    <col min="11013" max="11013" width="51.5" style="227" customWidth="1"/>
    <col min="11014" max="11014" width="14" style="227" customWidth="1"/>
    <col min="11015" max="11015" width="18.25" style="227" customWidth="1"/>
    <col min="11016" max="11016" width="15.875" style="227" customWidth="1"/>
    <col min="11017" max="11264" width="10.875" style="227"/>
    <col min="11265" max="11265" width="4.625" style="227" customWidth="1"/>
    <col min="11266" max="11266" width="13.375" style="227" customWidth="1"/>
    <col min="11267" max="11267" width="11.625" style="227" customWidth="1"/>
    <col min="11268" max="11268" width="13.125" style="227" customWidth="1"/>
    <col min="11269" max="11269" width="51.5" style="227" customWidth="1"/>
    <col min="11270" max="11270" width="14" style="227" customWidth="1"/>
    <col min="11271" max="11271" width="18.25" style="227" customWidth="1"/>
    <col min="11272" max="11272" width="15.875" style="227" customWidth="1"/>
    <col min="11273" max="11520" width="10.875" style="227"/>
    <col min="11521" max="11521" width="4.625" style="227" customWidth="1"/>
    <col min="11522" max="11522" width="13.375" style="227" customWidth="1"/>
    <col min="11523" max="11523" width="11.625" style="227" customWidth="1"/>
    <col min="11524" max="11524" width="13.125" style="227" customWidth="1"/>
    <col min="11525" max="11525" width="51.5" style="227" customWidth="1"/>
    <col min="11526" max="11526" width="14" style="227" customWidth="1"/>
    <col min="11527" max="11527" width="18.25" style="227" customWidth="1"/>
    <col min="11528" max="11528" width="15.875" style="227" customWidth="1"/>
    <col min="11529" max="11776" width="10.875" style="227"/>
    <col min="11777" max="11777" width="4.625" style="227" customWidth="1"/>
    <col min="11778" max="11778" width="13.375" style="227" customWidth="1"/>
    <col min="11779" max="11779" width="11.625" style="227" customWidth="1"/>
    <col min="11780" max="11780" width="13.125" style="227" customWidth="1"/>
    <col min="11781" max="11781" width="51.5" style="227" customWidth="1"/>
    <col min="11782" max="11782" width="14" style="227" customWidth="1"/>
    <col min="11783" max="11783" width="18.25" style="227" customWidth="1"/>
    <col min="11784" max="11784" width="15.875" style="227" customWidth="1"/>
    <col min="11785" max="12032" width="10.875" style="227"/>
    <col min="12033" max="12033" width="4.625" style="227" customWidth="1"/>
    <col min="12034" max="12034" width="13.375" style="227" customWidth="1"/>
    <col min="12035" max="12035" width="11.625" style="227" customWidth="1"/>
    <col min="12036" max="12036" width="13.125" style="227" customWidth="1"/>
    <col min="12037" max="12037" width="51.5" style="227" customWidth="1"/>
    <col min="12038" max="12038" width="14" style="227" customWidth="1"/>
    <col min="12039" max="12039" width="18.25" style="227" customWidth="1"/>
    <col min="12040" max="12040" width="15.875" style="227" customWidth="1"/>
    <col min="12041" max="12288" width="10.875" style="227"/>
    <col min="12289" max="12289" width="4.625" style="227" customWidth="1"/>
    <col min="12290" max="12290" width="13.375" style="227" customWidth="1"/>
    <col min="12291" max="12291" width="11.625" style="227" customWidth="1"/>
    <col min="12292" max="12292" width="13.125" style="227" customWidth="1"/>
    <col min="12293" max="12293" width="51.5" style="227" customWidth="1"/>
    <col min="12294" max="12294" width="14" style="227" customWidth="1"/>
    <col min="12295" max="12295" width="18.25" style="227" customWidth="1"/>
    <col min="12296" max="12296" width="15.875" style="227" customWidth="1"/>
    <col min="12297" max="12544" width="10.875" style="227"/>
    <col min="12545" max="12545" width="4.625" style="227" customWidth="1"/>
    <col min="12546" max="12546" width="13.375" style="227" customWidth="1"/>
    <col min="12547" max="12547" width="11.625" style="227" customWidth="1"/>
    <col min="12548" max="12548" width="13.125" style="227" customWidth="1"/>
    <col min="12549" max="12549" width="51.5" style="227" customWidth="1"/>
    <col min="12550" max="12550" width="14" style="227" customWidth="1"/>
    <col min="12551" max="12551" width="18.25" style="227" customWidth="1"/>
    <col min="12552" max="12552" width="15.875" style="227" customWidth="1"/>
    <col min="12553" max="12800" width="10.875" style="227"/>
    <col min="12801" max="12801" width="4.625" style="227" customWidth="1"/>
    <col min="12802" max="12802" width="13.375" style="227" customWidth="1"/>
    <col min="12803" max="12803" width="11.625" style="227" customWidth="1"/>
    <col min="12804" max="12804" width="13.125" style="227" customWidth="1"/>
    <col min="12805" max="12805" width="51.5" style="227" customWidth="1"/>
    <col min="12806" max="12806" width="14" style="227" customWidth="1"/>
    <col min="12807" max="12807" width="18.25" style="227" customWidth="1"/>
    <col min="12808" max="12808" width="15.875" style="227" customWidth="1"/>
    <col min="12809" max="13056" width="10.875" style="227"/>
    <col min="13057" max="13057" width="4.625" style="227" customWidth="1"/>
    <col min="13058" max="13058" width="13.375" style="227" customWidth="1"/>
    <col min="13059" max="13059" width="11.625" style="227" customWidth="1"/>
    <col min="13060" max="13060" width="13.125" style="227" customWidth="1"/>
    <col min="13061" max="13061" width="51.5" style="227" customWidth="1"/>
    <col min="13062" max="13062" width="14" style="227" customWidth="1"/>
    <col min="13063" max="13063" width="18.25" style="227" customWidth="1"/>
    <col min="13064" max="13064" width="15.875" style="227" customWidth="1"/>
    <col min="13065" max="13312" width="10.875" style="227"/>
    <col min="13313" max="13313" width="4.625" style="227" customWidth="1"/>
    <col min="13314" max="13314" width="13.375" style="227" customWidth="1"/>
    <col min="13315" max="13315" width="11.625" style="227" customWidth="1"/>
    <col min="13316" max="13316" width="13.125" style="227" customWidth="1"/>
    <col min="13317" max="13317" width="51.5" style="227" customWidth="1"/>
    <col min="13318" max="13318" width="14" style="227" customWidth="1"/>
    <col min="13319" max="13319" width="18.25" style="227" customWidth="1"/>
    <col min="13320" max="13320" width="15.875" style="227" customWidth="1"/>
    <col min="13321" max="13568" width="10.875" style="227"/>
    <col min="13569" max="13569" width="4.625" style="227" customWidth="1"/>
    <col min="13570" max="13570" width="13.375" style="227" customWidth="1"/>
    <col min="13571" max="13571" width="11.625" style="227" customWidth="1"/>
    <col min="13572" max="13572" width="13.125" style="227" customWidth="1"/>
    <col min="13573" max="13573" width="51.5" style="227" customWidth="1"/>
    <col min="13574" max="13574" width="14" style="227" customWidth="1"/>
    <col min="13575" max="13575" width="18.25" style="227" customWidth="1"/>
    <col min="13576" max="13576" width="15.875" style="227" customWidth="1"/>
    <col min="13577" max="13824" width="10.875" style="227"/>
    <col min="13825" max="13825" width="4.625" style="227" customWidth="1"/>
    <col min="13826" max="13826" width="13.375" style="227" customWidth="1"/>
    <col min="13827" max="13827" width="11.625" style="227" customWidth="1"/>
    <col min="13828" max="13828" width="13.125" style="227" customWidth="1"/>
    <col min="13829" max="13829" width="51.5" style="227" customWidth="1"/>
    <col min="13830" max="13830" width="14" style="227" customWidth="1"/>
    <col min="13831" max="13831" width="18.25" style="227" customWidth="1"/>
    <col min="13832" max="13832" width="15.875" style="227" customWidth="1"/>
    <col min="13833" max="14080" width="10.875" style="227"/>
    <col min="14081" max="14081" width="4.625" style="227" customWidth="1"/>
    <col min="14082" max="14082" width="13.375" style="227" customWidth="1"/>
    <col min="14083" max="14083" width="11.625" style="227" customWidth="1"/>
    <col min="14084" max="14084" width="13.125" style="227" customWidth="1"/>
    <col min="14085" max="14085" width="51.5" style="227" customWidth="1"/>
    <col min="14086" max="14086" width="14" style="227" customWidth="1"/>
    <col min="14087" max="14087" width="18.25" style="227" customWidth="1"/>
    <col min="14088" max="14088" width="15.875" style="227" customWidth="1"/>
    <col min="14089" max="14336" width="10.875" style="227"/>
    <col min="14337" max="14337" width="4.625" style="227" customWidth="1"/>
    <col min="14338" max="14338" width="13.375" style="227" customWidth="1"/>
    <col min="14339" max="14339" width="11.625" style="227" customWidth="1"/>
    <col min="14340" max="14340" width="13.125" style="227" customWidth="1"/>
    <col min="14341" max="14341" width="51.5" style="227" customWidth="1"/>
    <col min="14342" max="14342" width="14" style="227" customWidth="1"/>
    <col min="14343" max="14343" width="18.25" style="227" customWidth="1"/>
    <col min="14344" max="14344" width="15.875" style="227" customWidth="1"/>
    <col min="14345" max="14592" width="10.875" style="227"/>
    <col min="14593" max="14593" width="4.625" style="227" customWidth="1"/>
    <col min="14594" max="14594" width="13.375" style="227" customWidth="1"/>
    <col min="14595" max="14595" width="11.625" style="227" customWidth="1"/>
    <col min="14596" max="14596" width="13.125" style="227" customWidth="1"/>
    <col min="14597" max="14597" width="51.5" style="227" customWidth="1"/>
    <col min="14598" max="14598" width="14" style="227" customWidth="1"/>
    <col min="14599" max="14599" width="18.25" style="227" customWidth="1"/>
    <col min="14600" max="14600" width="15.875" style="227" customWidth="1"/>
    <col min="14601" max="14848" width="10.875" style="227"/>
    <col min="14849" max="14849" width="4.625" style="227" customWidth="1"/>
    <col min="14850" max="14850" width="13.375" style="227" customWidth="1"/>
    <col min="14851" max="14851" width="11.625" style="227" customWidth="1"/>
    <col min="14852" max="14852" width="13.125" style="227" customWidth="1"/>
    <col min="14853" max="14853" width="51.5" style="227" customWidth="1"/>
    <col min="14854" max="14854" width="14" style="227" customWidth="1"/>
    <col min="14855" max="14855" width="18.25" style="227" customWidth="1"/>
    <col min="14856" max="14856" width="15.875" style="227" customWidth="1"/>
    <col min="14857" max="15104" width="10.875" style="227"/>
    <col min="15105" max="15105" width="4.625" style="227" customWidth="1"/>
    <col min="15106" max="15106" width="13.375" style="227" customWidth="1"/>
    <col min="15107" max="15107" width="11.625" style="227" customWidth="1"/>
    <col min="15108" max="15108" width="13.125" style="227" customWidth="1"/>
    <col min="15109" max="15109" width="51.5" style="227" customWidth="1"/>
    <col min="15110" max="15110" width="14" style="227" customWidth="1"/>
    <col min="15111" max="15111" width="18.25" style="227" customWidth="1"/>
    <col min="15112" max="15112" width="15.875" style="227" customWidth="1"/>
    <col min="15113" max="15360" width="10.875" style="227"/>
    <col min="15361" max="15361" width="4.625" style="227" customWidth="1"/>
    <col min="15362" max="15362" width="13.375" style="227" customWidth="1"/>
    <col min="15363" max="15363" width="11.625" style="227" customWidth="1"/>
    <col min="15364" max="15364" width="13.125" style="227" customWidth="1"/>
    <col min="15365" max="15365" width="51.5" style="227" customWidth="1"/>
    <col min="15366" max="15366" width="14" style="227" customWidth="1"/>
    <col min="15367" max="15367" width="18.25" style="227" customWidth="1"/>
    <col min="15368" max="15368" width="15.875" style="227" customWidth="1"/>
    <col min="15369" max="15616" width="10.875" style="227"/>
    <col min="15617" max="15617" width="4.625" style="227" customWidth="1"/>
    <col min="15618" max="15618" width="13.375" style="227" customWidth="1"/>
    <col min="15619" max="15619" width="11.625" style="227" customWidth="1"/>
    <col min="15620" max="15620" width="13.125" style="227" customWidth="1"/>
    <col min="15621" max="15621" width="51.5" style="227" customWidth="1"/>
    <col min="15622" max="15622" width="14" style="227" customWidth="1"/>
    <col min="15623" max="15623" width="18.25" style="227" customWidth="1"/>
    <col min="15624" max="15624" width="15.875" style="227" customWidth="1"/>
    <col min="15625" max="15872" width="10.875" style="227"/>
    <col min="15873" max="15873" width="4.625" style="227" customWidth="1"/>
    <col min="15874" max="15874" width="13.375" style="227" customWidth="1"/>
    <col min="15875" max="15875" width="11.625" style="227" customWidth="1"/>
    <col min="15876" max="15876" width="13.125" style="227" customWidth="1"/>
    <col min="15877" max="15877" width="51.5" style="227" customWidth="1"/>
    <col min="15878" max="15878" width="14" style="227" customWidth="1"/>
    <col min="15879" max="15879" width="18.25" style="227" customWidth="1"/>
    <col min="15880" max="15880" width="15.875" style="227" customWidth="1"/>
    <col min="15881" max="16128" width="10.875" style="227"/>
    <col min="16129" max="16129" width="4.625" style="227" customWidth="1"/>
    <col min="16130" max="16130" width="13.375" style="227" customWidth="1"/>
    <col min="16131" max="16131" width="11.625" style="227" customWidth="1"/>
    <col min="16132" max="16132" width="13.125" style="227" customWidth="1"/>
    <col min="16133" max="16133" width="51.5" style="227" customWidth="1"/>
    <col min="16134" max="16134" width="14" style="227" customWidth="1"/>
    <col min="16135" max="16135" width="18.25" style="227" customWidth="1"/>
    <col min="16136" max="16136" width="15.875" style="227" customWidth="1"/>
    <col min="16137" max="16384" width="10.875" style="227"/>
  </cols>
  <sheetData>
    <row r="1" spans="1:10" s="219" customFormat="1" ht="26.25">
      <c r="A1" s="893" t="s">
        <v>191</v>
      </c>
      <c r="B1" s="893"/>
      <c r="C1" s="893"/>
      <c r="D1" s="894"/>
      <c r="E1" s="893"/>
      <c r="F1" s="893"/>
      <c r="G1" s="893"/>
    </row>
    <row r="2" spans="1:10" s="219" customFormat="1" ht="26.25">
      <c r="A2" s="895" t="s">
        <v>252</v>
      </c>
      <c r="B2" s="895"/>
      <c r="C2" s="895"/>
      <c r="D2" s="895"/>
      <c r="E2" s="895"/>
      <c r="F2" s="895"/>
      <c r="G2" s="895"/>
    </row>
    <row r="3" spans="1:10" s="219" customFormat="1" ht="26.25">
      <c r="A3" s="895" t="s">
        <v>249</v>
      </c>
      <c r="B3" s="895"/>
      <c r="C3" s="895"/>
      <c r="D3" s="895"/>
      <c r="E3" s="895"/>
      <c r="F3" s="895"/>
      <c r="G3" s="895"/>
    </row>
    <row r="4" spans="1:10" s="218" customFormat="1" ht="16.5" thickBot="1">
      <c r="A4" s="212"/>
      <c r="B4" s="213"/>
      <c r="C4" s="220"/>
      <c r="D4" s="214"/>
      <c r="E4" s="215"/>
      <c r="F4" s="216"/>
      <c r="G4" s="217"/>
    </row>
    <row r="5" spans="1:10" s="221" customFormat="1" ht="15.75">
      <c r="A5" s="896" t="s">
        <v>4</v>
      </c>
      <c r="B5" s="898" t="s">
        <v>192</v>
      </c>
      <c r="C5" s="900" t="s">
        <v>193</v>
      </c>
      <c r="D5" s="902" t="s">
        <v>194</v>
      </c>
      <c r="E5" s="900" t="s">
        <v>7</v>
      </c>
      <c r="F5" s="904" t="s">
        <v>10</v>
      </c>
      <c r="G5" s="906" t="s">
        <v>6</v>
      </c>
    </row>
    <row r="6" spans="1:10" s="221" customFormat="1" ht="16.5" thickBot="1">
      <c r="A6" s="897"/>
      <c r="B6" s="899"/>
      <c r="C6" s="901"/>
      <c r="D6" s="903"/>
      <c r="E6" s="901"/>
      <c r="F6" s="905"/>
      <c r="G6" s="907"/>
      <c r="H6" s="825" t="s">
        <v>467</v>
      </c>
      <c r="I6" s="825" t="s">
        <v>466</v>
      </c>
    </row>
    <row r="7" spans="1:10" ht="15.75" thickTop="1">
      <c r="A7" s="222"/>
      <c r="B7" s="263"/>
      <c r="C7" s="264"/>
      <c r="D7" s="264"/>
      <c r="E7" s="223"/>
      <c r="F7" s="224">
        <f>SUM(F8:F1612)/2</f>
        <v>1711225399.9999998</v>
      </c>
      <c r="G7" s="225"/>
      <c r="H7" s="826">
        <f>'Rekap Budget'!H25</f>
        <v>1711225400</v>
      </c>
      <c r="I7" s="827">
        <f>F7-H7</f>
        <v>0</v>
      </c>
    </row>
    <row r="8" spans="1:10" s="269" customFormat="1" ht="15">
      <c r="A8" s="262"/>
      <c r="B8" s="263" t="s">
        <v>189</v>
      </c>
      <c r="C8" s="264">
        <f>B9</f>
        <v>42108</v>
      </c>
      <c r="D8" s="264">
        <f>C8+12</f>
        <v>42120</v>
      </c>
      <c r="E8" s="265"/>
      <c r="F8" s="266">
        <f>SUM(F9:F25)</f>
        <v>8650000</v>
      </c>
      <c r="G8" s="267" t="s">
        <v>251</v>
      </c>
      <c r="H8" s="268"/>
    </row>
    <row r="9" spans="1:10" ht="15.75">
      <c r="A9" s="250">
        <v>1</v>
      </c>
      <c r="B9" s="251">
        <v>42108</v>
      </c>
      <c r="C9" s="228" t="s">
        <v>195</v>
      </c>
      <c r="D9" s="229"/>
      <c r="E9" s="230"/>
      <c r="F9" s="231"/>
      <c r="G9" s="232"/>
      <c r="H9" s="233"/>
    </row>
    <row r="10" spans="1:10" ht="15.75">
      <c r="A10" s="243">
        <f>A9+1</f>
        <v>2</v>
      </c>
      <c r="B10" s="251">
        <f>B9+1</f>
        <v>42109</v>
      </c>
      <c r="C10" s="228" t="s">
        <v>195</v>
      </c>
      <c r="D10" s="229"/>
      <c r="E10" s="230"/>
      <c r="F10" s="231"/>
      <c r="G10" s="234"/>
      <c r="H10" s="226"/>
    </row>
    <row r="11" spans="1:10" ht="15.75">
      <c r="A11" s="243">
        <f t="shared" ref="A11:A25" si="0">A10+1</f>
        <v>3</v>
      </c>
      <c r="B11" s="251">
        <f>B10+1</f>
        <v>42110</v>
      </c>
      <c r="C11" s="228" t="s">
        <v>195</v>
      </c>
      <c r="D11" s="229" t="s">
        <v>5</v>
      </c>
      <c r="E11" s="230" t="s">
        <v>196</v>
      </c>
      <c r="F11" s="231"/>
      <c r="G11" s="234"/>
    </row>
    <row r="12" spans="1:10" ht="15.75">
      <c r="A12" s="243">
        <f t="shared" si="0"/>
        <v>4</v>
      </c>
      <c r="B12" s="251">
        <f>B11</f>
        <v>42110</v>
      </c>
      <c r="C12" s="228" t="s">
        <v>195</v>
      </c>
      <c r="D12" s="229" t="s">
        <v>5</v>
      </c>
      <c r="E12" s="230" t="s">
        <v>167</v>
      </c>
      <c r="F12" s="231">
        <f>[41]Budget!$G$21</f>
        <v>200000</v>
      </c>
      <c r="G12" s="234" t="s">
        <v>197</v>
      </c>
      <c r="H12" s="279">
        <f>SUBTOTAL(9,F12:F14)</f>
        <v>2575000</v>
      </c>
      <c r="J12" s="235"/>
    </row>
    <row r="13" spans="1:10" ht="15.75">
      <c r="A13" s="243">
        <f t="shared" si="0"/>
        <v>5</v>
      </c>
      <c r="B13" s="251">
        <f t="shared" ref="B13:B15" si="1">B12</f>
        <v>42110</v>
      </c>
      <c r="C13" s="228" t="s">
        <v>195</v>
      </c>
      <c r="D13" s="229" t="s">
        <v>5</v>
      </c>
      <c r="E13" s="230" t="s">
        <v>147</v>
      </c>
      <c r="F13" s="236">
        <f>[41]Budget!$G$22</f>
        <v>500000</v>
      </c>
      <c r="G13" s="237" t="s">
        <v>197</v>
      </c>
    </row>
    <row r="14" spans="1:10" ht="15.75">
      <c r="A14" s="243">
        <f t="shared" si="0"/>
        <v>6</v>
      </c>
      <c r="B14" s="251">
        <f t="shared" si="1"/>
        <v>42110</v>
      </c>
      <c r="C14" s="228" t="s">
        <v>195</v>
      </c>
      <c r="D14" s="229" t="s">
        <v>5</v>
      </c>
      <c r="E14" s="230" t="s">
        <v>367</v>
      </c>
      <c r="F14" s="236">
        <f>Budget!G24</f>
        <v>1875000</v>
      </c>
      <c r="G14" s="237" t="s">
        <v>197</v>
      </c>
    </row>
    <row r="15" spans="1:10" ht="15.75">
      <c r="A15" s="243">
        <f t="shared" si="0"/>
        <v>7</v>
      </c>
      <c r="B15" s="251">
        <f t="shared" si="1"/>
        <v>42110</v>
      </c>
      <c r="C15" s="228" t="s">
        <v>195</v>
      </c>
      <c r="D15" s="229" t="s">
        <v>3</v>
      </c>
      <c r="E15" s="230" t="s">
        <v>219</v>
      </c>
      <c r="F15" s="236">
        <v>2000000</v>
      </c>
      <c r="G15" s="237" t="s">
        <v>5</v>
      </c>
      <c r="H15" s="227" t="s">
        <v>198</v>
      </c>
      <c r="I15" s="238">
        <f>7*20000</f>
        <v>140000</v>
      </c>
    </row>
    <row r="16" spans="1:10" ht="15.75">
      <c r="A16" s="243">
        <f t="shared" si="0"/>
        <v>8</v>
      </c>
      <c r="B16" s="251">
        <f>B11+1</f>
        <v>42111</v>
      </c>
      <c r="C16" s="228" t="s">
        <v>195</v>
      </c>
      <c r="D16" s="229" t="s">
        <v>3</v>
      </c>
      <c r="E16" s="230" t="s">
        <v>176</v>
      </c>
      <c r="F16" s="236">
        <v>300000</v>
      </c>
      <c r="G16" s="237" t="s">
        <v>5</v>
      </c>
      <c r="H16" s="227" t="s">
        <v>198</v>
      </c>
      <c r="I16" s="238">
        <f>7*20000</f>
        <v>140000</v>
      </c>
    </row>
    <row r="17" spans="1:9" ht="15.75">
      <c r="A17" s="243">
        <f t="shared" si="0"/>
        <v>9</v>
      </c>
      <c r="B17" s="251">
        <f>B16+1</f>
        <v>42112</v>
      </c>
      <c r="C17" s="228" t="s">
        <v>195</v>
      </c>
      <c r="D17" s="229" t="s">
        <v>3</v>
      </c>
      <c r="E17" s="230" t="s">
        <v>176</v>
      </c>
      <c r="F17" s="236">
        <v>300000</v>
      </c>
      <c r="G17" s="237" t="s">
        <v>5</v>
      </c>
    </row>
    <row r="18" spans="1:9" ht="15.75">
      <c r="A18" s="243">
        <f t="shared" si="0"/>
        <v>10</v>
      </c>
      <c r="B18" s="251">
        <f>B17+1</f>
        <v>42113</v>
      </c>
      <c r="C18" s="228" t="s">
        <v>195</v>
      </c>
      <c r="D18" s="229" t="s">
        <v>3</v>
      </c>
      <c r="E18" s="230" t="s">
        <v>176</v>
      </c>
      <c r="F18" s="236">
        <v>300000</v>
      </c>
      <c r="G18" s="237" t="s">
        <v>5</v>
      </c>
    </row>
    <row r="19" spans="1:9" ht="15.75">
      <c r="A19" s="243">
        <f t="shared" si="0"/>
        <v>11</v>
      </c>
      <c r="B19" s="251">
        <v>42114</v>
      </c>
      <c r="C19" s="228" t="s">
        <v>195</v>
      </c>
      <c r="D19" s="229" t="s">
        <v>3</v>
      </c>
      <c r="E19" s="230" t="s">
        <v>176</v>
      </c>
      <c r="F19" s="236">
        <v>300000</v>
      </c>
      <c r="G19" s="237" t="s">
        <v>5</v>
      </c>
      <c r="H19" s="279">
        <f>SUBTOTAL(9,F20:F1612)</f>
        <v>3408025799.9999995</v>
      </c>
    </row>
    <row r="20" spans="1:9" ht="15.75">
      <c r="A20" s="243">
        <f t="shared" si="0"/>
        <v>12</v>
      </c>
      <c r="B20" s="251">
        <f t="shared" ref="B20:B25" si="2">B19+1</f>
        <v>42115</v>
      </c>
      <c r="C20" s="228" t="s">
        <v>195</v>
      </c>
      <c r="D20" s="229" t="s">
        <v>3</v>
      </c>
      <c r="E20" s="230" t="s">
        <v>176</v>
      </c>
      <c r="F20" s="236">
        <v>300000</v>
      </c>
      <c r="G20" s="237" t="s">
        <v>5</v>
      </c>
    </row>
    <row r="21" spans="1:9" ht="15.75">
      <c r="A21" s="243">
        <f t="shared" si="0"/>
        <v>13</v>
      </c>
      <c r="B21" s="251">
        <f t="shared" si="2"/>
        <v>42116</v>
      </c>
      <c r="C21" s="228" t="s">
        <v>195</v>
      </c>
      <c r="D21" s="229" t="s">
        <v>3</v>
      </c>
      <c r="E21" s="230" t="s">
        <v>176</v>
      </c>
      <c r="F21" s="236">
        <v>300000</v>
      </c>
      <c r="G21" s="237" t="s">
        <v>5</v>
      </c>
    </row>
    <row r="22" spans="1:9" ht="15.75">
      <c r="A22" s="243">
        <f t="shared" si="0"/>
        <v>14</v>
      </c>
      <c r="B22" s="251">
        <f t="shared" si="2"/>
        <v>42117</v>
      </c>
      <c r="C22" s="228" t="s">
        <v>195</v>
      </c>
      <c r="D22" s="229"/>
      <c r="E22" s="239"/>
      <c r="F22" s="236"/>
      <c r="G22" s="237"/>
    </row>
    <row r="23" spans="1:9" ht="15.75">
      <c r="A23" s="243">
        <f t="shared" si="0"/>
        <v>15</v>
      </c>
      <c r="B23" s="251">
        <f t="shared" si="2"/>
        <v>42118</v>
      </c>
      <c r="C23" s="228" t="s">
        <v>195</v>
      </c>
      <c r="D23" s="229"/>
      <c r="E23" s="239"/>
      <c r="F23" s="236"/>
      <c r="G23" s="237"/>
    </row>
    <row r="24" spans="1:9" ht="15.75">
      <c r="A24" s="243">
        <f t="shared" si="0"/>
        <v>16</v>
      </c>
      <c r="B24" s="251">
        <f t="shared" si="2"/>
        <v>42119</v>
      </c>
      <c r="C24" s="228" t="s">
        <v>195</v>
      </c>
      <c r="D24" s="229"/>
      <c r="E24" s="239"/>
      <c r="F24" s="236"/>
      <c r="G24" s="237"/>
    </row>
    <row r="25" spans="1:9" ht="15.75">
      <c r="A25" s="243">
        <f t="shared" si="0"/>
        <v>17</v>
      </c>
      <c r="B25" s="251">
        <f t="shared" si="2"/>
        <v>42120</v>
      </c>
      <c r="C25" s="228" t="s">
        <v>195</v>
      </c>
      <c r="D25" s="229" t="s">
        <v>57</v>
      </c>
      <c r="E25" s="230" t="s">
        <v>226</v>
      </c>
      <c r="F25" s="236">
        <f>5*35000*13</f>
        <v>2275000</v>
      </c>
      <c r="G25" s="237" t="s">
        <v>225</v>
      </c>
      <c r="H25" s="227">
        <v>13</v>
      </c>
    </row>
    <row r="26" spans="1:9">
      <c r="A26" s="255"/>
      <c r="B26" s="256"/>
      <c r="C26" s="257"/>
      <c r="D26" s="258"/>
      <c r="E26" s="259"/>
      <c r="F26" s="246"/>
      <c r="G26" s="260"/>
      <c r="I26" s="269"/>
    </row>
    <row r="27" spans="1:9" s="269" customFormat="1" ht="15">
      <c r="A27" s="262"/>
      <c r="B27" s="263" t="s">
        <v>189</v>
      </c>
      <c r="C27" s="264">
        <f>B25+1</f>
        <v>42121</v>
      </c>
      <c r="D27" s="264">
        <f>C27+13</f>
        <v>42134</v>
      </c>
      <c r="E27" s="265"/>
      <c r="F27" s="278">
        <f>SUM(F28:F155)</f>
        <v>61439450</v>
      </c>
      <c r="G27" s="267" t="s">
        <v>251</v>
      </c>
      <c r="H27" s="268"/>
      <c r="I27" s="227"/>
    </row>
    <row r="28" spans="1:9" ht="15.75">
      <c r="A28" s="250">
        <v>1</v>
      </c>
      <c r="B28" s="261">
        <v>42121</v>
      </c>
      <c r="C28" s="228" t="s">
        <v>195</v>
      </c>
      <c r="D28" s="229"/>
      <c r="E28" s="239"/>
      <c r="F28" s="236"/>
      <c r="G28" s="237"/>
      <c r="H28" s="233"/>
    </row>
    <row r="29" spans="1:9" ht="15.75">
      <c r="A29" s="243">
        <v>2</v>
      </c>
      <c r="B29" s="251">
        <f>B28+1</f>
        <v>42122</v>
      </c>
      <c r="C29" s="228" t="s">
        <v>195</v>
      </c>
      <c r="D29" s="229"/>
      <c r="E29" s="230"/>
      <c r="F29" s="236"/>
      <c r="G29" s="237"/>
      <c r="H29" s="226"/>
    </row>
    <row r="30" spans="1:9" ht="15.75">
      <c r="A30" s="243">
        <v>3</v>
      </c>
      <c r="B30" s="251">
        <f t="shared" ref="B30:B32" si="3">B29+1</f>
        <v>42123</v>
      </c>
      <c r="C30" s="228" t="s">
        <v>195</v>
      </c>
      <c r="D30" s="229"/>
      <c r="E30" s="230"/>
      <c r="F30" s="236"/>
      <c r="G30" s="237"/>
    </row>
    <row r="31" spans="1:9" ht="15.75">
      <c r="A31" s="243">
        <v>4</v>
      </c>
      <c r="B31" s="251">
        <f t="shared" si="3"/>
        <v>42124</v>
      </c>
      <c r="C31" s="228" t="s">
        <v>195</v>
      </c>
      <c r="D31" s="229" t="s">
        <v>5</v>
      </c>
      <c r="E31" s="230" t="s">
        <v>369</v>
      </c>
      <c r="F31" s="236">
        <f>Budget!G12</f>
        <v>500000</v>
      </c>
      <c r="G31" s="237" t="s">
        <v>5</v>
      </c>
    </row>
    <row r="32" spans="1:9" ht="15.75">
      <c r="A32" s="243">
        <v>5</v>
      </c>
      <c r="B32" s="251">
        <f t="shared" si="3"/>
        <v>42125</v>
      </c>
      <c r="C32" s="228" t="s">
        <v>195</v>
      </c>
      <c r="D32" s="229"/>
      <c r="E32" s="239" t="s">
        <v>199</v>
      </c>
      <c r="F32" s="236"/>
      <c r="G32" s="237" t="s">
        <v>200</v>
      </c>
      <c r="H32" s="241"/>
    </row>
    <row r="33" spans="1:8" ht="15.75">
      <c r="A33" s="243">
        <v>5</v>
      </c>
      <c r="B33" s="251">
        <f>B32</f>
        <v>42125</v>
      </c>
      <c r="C33" s="228" t="s">
        <v>195</v>
      </c>
      <c r="D33" s="229" t="s">
        <v>2</v>
      </c>
      <c r="E33" s="230" t="s">
        <v>308</v>
      </c>
      <c r="F33" s="236">
        <f>Budget!G30/4</f>
        <v>1800000</v>
      </c>
      <c r="G33" s="237" t="s">
        <v>200</v>
      </c>
      <c r="H33" s="241">
        <f>SUBTOTAL(9,F33:F131)</f>
        <v>46425000</v>
      </c>
    </row>
    <row r="34" spans="1:8" ht="15.75">
      <c r="A34" s="243"/>
      <c r="B34" s="251">
        <f>B33</f>
        <v>42125</v>
      </c>
      <c r="C34" s="228" t="str">
        <f>C33</f>
        <v>P-5E</v>
      </c>
      <c r="D34" s="229" t="s">
        <v>2</v>
      </c>
      <c r="E34" s="230" t="s">
        <v>310</v>
      </c>
      <c r="F34" s="236">
        <f>Budget!G31/4</f>
        <v>3037500</v>
      </c>
      <c r="G34" s="237" t="s">
        <v>200</v>
      </c>
      <c r="H34" s="241"/>
    </row>
    <row r="35" spans="1:8" ht="15.75">
      <c r="A35" s="243">
        <v>14</v>
      </c>
      <c r="B35" s="251">
        <f>B33</f>
        <v>42125</v>
      </c>
      <c r="C35" s="228" t="s">
        <v>195</v>
      </c>
      <c r="D35" s="229" t="s">
        <v>2</v>
      </c>
      <c r="E35" s="230" t="s">
        <v>311</v>
      </c>
      <c r="F35" s="236">
        <f>Budget!G32/4</f>
        <v>720000</v>
      </c>
      <c r="G35" s="237" t="s">
        <v>200</v>
      </c>
    </row>
    <row r="36" spans="1:8" ht="15.75">
      <c r="A36" s="243">
        <v>17</v>
      </c>
      <c r="B36" s="251">
        <f>B35</f>
        <v>42125</v>
      </c>
      <c r="C36" s="228" t="s">
        <v>195</v>
      </c>
      <c r="D36" s="229" t="s">
        <v>57</v>
      </c>
      <c r="E36" s="230" t="s">
        <v>375</v>
      </c>
      <c r="F36" s="236">
        <f>Budget!G34/9</f>
        <v>35000</v>
      </c>
      <c r="G36" s="237" t="s">
        <v>200</v>
      </c>
    </row>
    <row r="37" spans="1:8" ht="15.75">
      <c r="A37" s="243">
        <v>19</v>
      </c>
      <c r="B37" s="251">
        <f t="shared" ref="B37:B39" si="4">B36</f>
        <v>42125</v>
      </c>
      <c r="C37" s="228" t="s">
        <v>195</v>
      </c>
      <c r="D37" s="229" t="s">
        <v>3</v>
      </c>
      <c r="E37" s="230" t="s">
        <v>79</v>
      </c>
      <c r="F37" s="236">
        <f>Budget!G35/9</f>
        <v>200000</v>
      </c>
      <c r="G37" s="237" t="s">
        <v>200</v>
      </c>
      <c r="H37" s="241"/>
    </row>
    <row r="38" spans="1:8" ht="15.75">
      <c r="A38" s="243">
        <v>20</v>
      </c>
      <c r="B38" s="251">
        <f t="shared" si="4"/>
        <v>42125</v>
      </c>
      <c r="C38" s="228" t="s">
        <v>195</v>
      </c>
      <c r="D38" s="229" t="s">
        <v>3</v>
      </c>
      <c r="E38" s="230" t="s">
        <v>76</v>
      </c>
      <c r="F38" s="236">
        <f>Budget!G36/9</f>
        <v>300000</v>
      </c>
      <c r="G38" s="237" t="s">
        <v>200</v>
      </c>
      <c r="H38" s="241"/>
    </row>
    <row r="39" spans="1:8" ht="15.75">
      <c r="A39" s="243">
        <v>21</v>
      </c>
      <c r="B39" s="251">
        <f t="shared" si="4"/>
        <v>42125</v>
      </c>
      <c r="C39" s="228" t="s">
        <v>195</v>
      </c>
      <c r="D39" s="229" t="s">
        <v>57</v>
      </c>
      <c r="E39" s="230" t="s">
        <v>186</v>
      </c>
      <c r="F39" s="236">
        <f>Budget!G37/9</f>
        <v>150000</v>
      </c>
      <c r="G39" s="237" t="s">
        <v>200</v>
      </c>
    </row>
    <row r="40" spans="1:8" ht="15.75">
      <c r="A40" s="243"/>
      <c r="B40" s="251">
        <f>B39</f>
        <v>42125</v>
      </c>
      <c r="C40" s="228" t="str">
        <f>C39</f>
        <v>P-5E</v>
      </c>
      <c r="D40" s="229" t="s">
        <v>5</v>
      </c>
      <c r="E40" s="244" t="s">
        <v>378</v>
      </c>
      <c r="F40" s="236">
        <f>Budget!G39/4</f>
        <v>200000</v>
      </c>
      <c r="G40" s="237" t="str">
        <f>G39</f>
        <v>P.bdn jln</v>
      </c>
    </row>
    <row r="41" spans="1:8" ht="15.75">
      <c r="A41" s="243"/>
      <c r="B41" s="251">
        <f>B40+1</f>
        <v>42126</v>
      </c>
      <c r="C41" s="228" t="str">
        <f>C40</f>
        <v>P-5E</v>
      </c>
      <c r="D41" s="229"/>
      <c r="E41" s="239" t="s">
        <v>199</v>
      </c>
      <c r="F41" s="236"/>
      <c r="G41" s="237" t="str">
        <f>G40</f>
        <v>P.bdn jln</v>
      </c>
    </row>
    <row r="42" spans="1:8" ht="15.75">
      <c r="A42" s="243">
        <v>26</v>
      </c>
      <c r="B42" s="251">
        <f>B41</f>
        <v>42126</v>
      </c>
      <c r="C42" s="228" t="s">
        <v>195</v>
      </c>
      <c r="D42" s="229" t="s">
        <v>2</v>
      </c>
      <c r="E42" s="230" t="s">
        <v>308</v>
      </c>
      <c r="F42" s="236">
        <v>1800000</v>
      </c>
      <c r="G42" s="237" t="s">
        <v>200</v>
      </c>
      <c r="H42" s="241"/>
    </row>
    <row r="43" spans="1:8" ht="15.75">
      <c r="A43" s="243">
        <v>27</v>
      </c>
      <c r="B43" s="251">
        <f t="shared" ref="B43:B48" si="5">B42</f>
        <v>42126</v>
      </c>
      <c r="C43" s="228" t="s">
        <v>195</v>
      </c>
      <c r="D43" s="229" t="s">
        <v>2</v>
      </c>
      <c r="E43" s="230" t="s">
        <v>310</v>
      </c>
      <c r="F43" s="236">
        <v>3037500</v>
      </c>
      <c r="G43" s="237" t="s">
        <v>200</v>
      </c>
      <c r="H43" s="241"/>
    </row>
    <row r="44" spans="1:8" ht="15.75">
      <c r="A44" s="243">
        <v>12</v>
      </c>
      <c r="B44" s="251">
        <f t="shared" si="5"/>
        <v>42126</v>
      </c>
      <c r="C44" s="228" t="s">
        <v>195</v>
      </c>
      <c r="D44" s="229" t="s">
        <v>2</v>
      </c>
      <c r="E44" s="230" t="s">
        <v>311</v>
      </c>
      <c r="F44" s="236">
        <v>720000</v>
      </c>
      <c r="G44" s="237" t="s">
        <v>200</v>
      </c>
    </row>
    <row r="45" spans="1:8" ht="15.75">
      <c r="A45" s="243">
        <v>31</v>
      </c>
      <c r="B45" s="251">
        <f>B44</f>
        <v>42126</v>
      </c>
      <c r="C45" s="228" t="s">
        <v>195</v>
      </c>
      <c r="D45" s="229" t="s">
        <v>57</v>
      </c>
      <c r="E45" s="230" t="s">
        <v>375</v>
      </c>
      <c r="F45" s="236">
        <v>35000</v>
      </c>
      <c r="G45" s="237" t="s">
        <v>200</v>
      </c>
      <c r="H45" s="241"/>
    </row>
    <row r="46" spans="1:8" ht="15.75">
      <c r="A46" s="243"/>
      <c r="B46" s="251">
        <f>B45</f>
        <v>42126</v>
      </c>
      <c r="C46" s="228" t="str">
        <f>C45</f>
        <v>P-5E</v>
      </c>
      <c r="D46" s="229" t="s">
        <v>3</v>
      </c>
      <c r="E46" s="230" t="s">
        <v>79</v>
      </c>
      <c r="F46" s="236">
        <v>200000</v>
      </c>
      <c r="G46" s="237" t="str">
        <f>G45</f>
        <v>P.bdn jln</v>
      </c>
      <c r="H46" s="241"/>
    </row>
    <row r="47" spans="1:8" ht="15.75">
      <c r="A47" s="243">
        <v>32</v>
      </c>
      <c r="B47" s="251">
        <f>B45</f>
        <v>42126</v>
      </c>
      <c r="C47" s="228" t="s">
        <v>195</v>
      </c>
      <c r="D47" s="229" t="s">
        <v>3</v>
      </c>
      <c r="E47" s="230" t="s">
        <v>76</v>
      </c>
      <c r="F47" s="236">
        <v>300000</v>
      </c>
      <c r="G47" s="237" t="s">
        <v>200</v>
      </c>
      <c r="H47" s="241"/>
    </row>
    <row r="48" spans="1:8" ht="15.75">
      <c r="A48" s="243">
        <v>33</v>
      </c>
      <c r="B48" s="251">
        <f t="shared" si="5"/>
        <v>42126</v>
      </c>
      <c r="C48" s="228" t="s">
        <v>195</v>
      </c>
      <c r="D48" s="229" t="s">
        <v>57</v>
      </c>
      <c r="E48" s="230" t="s">
        <v>186</v>
      </c>
      <c r="F48" s="236">
        <v>150000</v>
      </c>
      <c r="G48" s="237" t="s">
        <v>200</v>
      </c>
      <c r="H48" s="241"/>
    </row>
    <row r="49" spans="1:8" ht="15.75">
      <c r="A49" s="243">
        <v>35</v>
      </c>
      <c r="B49" s="251">
        <f>B48</f>
        <v>42126</v>
      </c>
      <c r="C49" s="228" t="s">
        <v>195</v>
      </c>
      <c r="D49" s="229" t="s">
        <v>57</v>
      </c>
      <c r="E49" s="244" t="s">
        <v>378</v>
      </c>
      <c r="F49" s="236">
        <v>200000</v>
      </c>
      <c r="G49" s="237" t="s">
        <v>200</v>
      </c>
      <c r="H49" s="241"/>
    </row>
    <row r="50" spans="1:8" ht="15.75">
      <c r="A50" s="243"/>
      <c r="B50" s="251">
        <f>B49</f>
        <v>42126</v>
      </c>
      <c r="C50" s="228" t="str">
        <f>C49</f>
        <v>P-5E</v>
      </c>
      <c r="D50" s="229" t="s">
        <v>5</v>
      </c>
      <c r="E50" s="244" t="s">
        <v>390</v>
      </c>
      <c r="F50" s="236">
        <v>1000000</v>
      </c>
      <c r="G50" s="237" t="s">
        <v>5</v>
      </c>
      <c r="H50" s="241"/>
    </row>
    <row r="51" spans="1:8" ht="15.75">
      <c r="A51" s="243">
        <v>36</v>
      </c>
      <c r="B51" s="251">
        <f t="shared" ref="B51" si="6">B49+1</f>
        <v>42127</v>
      </c>
      <c r="C51" s="228" t="s">
        <v>195</v>
      </c>
      <c r="D51" s="229"/>
      <c r="E51" s="239" t="s">
        <v>199</v>
      </c>
      <c r="F51" s="236"/>
      <c r="G51" s="237" t="s">
        <v>200</v>
      </c>
    </row>
    <row r="52" spans="1:8" ht="15.75">
      <c r="A52" s="243">
        <v>38</v>
      </c>
      <c r="B52" s="251">
        <f>B51</f>
        <v>42127</v>
      </c>
      <c r="C52" s="228" t="s">
        <v>195</v>
      </c>
      <c r="D52" s="229" t="s">
        <v>2</v>
      </c>
      <c r="E52" s="230" t="s">
        <v>308</v>
      </c>
      <c r="F52" s="236">
        <v>1800000</v>
      </c>
      <c r="G52" s="237" t="s">
        <v>200</v>
      </c>
    </row>
    <row r="53" spans="1:8" ht="15.75">
      <c r="A53" s="243">
        <v>39</v>
      </c>
      <c r="B53" s="251">
        <f t="shared" ref="B53:B58" si="7">B52</f>
        <v>42127</v>
      </c>
      <c r="C53" s="228" t="s">
        <v>195</v>
      </c>
      <c r="D53" s="229" t="s">
        <v>2</v>
      </c>
      <c r="E53" s="230" t="s">
        <v>310</v>
      </c>
      <c r="F53" s="236">
        <v>3037500</v>
      </c>
      <c r="G53" s="237" t="s">
        <v>200</v>
      </c>
    </row>
    <row r="54" spans="1:8" ht="15.75">
      <c r="A54" s="243"/>
      <c r="B54" s="251">
        <f>B53</f>
        <v>42127</v>
      </c>
      <c r="C54" s="228" t="str">
        <f>C53</f>
        <v>P-5E</v>
      </c>
      <c r="D54" s="229" t="s">
        <v>2</v>
      </c>
      <c r="E54" s="230" t="s">
        <v>311</v>
      </c>
      <c r="F54" s="236">
        <v>720000</v>
      </c>
      <c r="G54" s="237" t="str">
        <f>G53</f>
        <v>P.bdn jln</v>
      </c>
    </row>
    <row r="55" spans="1:8" ht="15.75">
      <c r="A55" s="243">
        <v>42</v>
      </c>
      <c r="B55" s="251">
        <f>B54</f>
        <v>42127</v>
      </c>
      <c r="C55" s="228" t="s">
        <v>195</v>
      </c>
      <c r="D55" s="229" t="s">
        <v>57</v>
      </c>
      <c r="E55" s="230" t="s">
        <v>375</v>
      </c>
      <c r="F55" s="236">
        <v>35000</v>
      </c>
      <c r="G55" s="237" t="s">
        <v>200</v>
      </c>
      <c r="H55" s="241"/>
    </row>
    <row r="56" spans="1:8" ht="15.75">
      <c r="A56" s="243">
        <v>44</v>
      </c>
      <c r="B56" s="251">
        <f t="shared" si="7"/>
        <v>42127</v>
      </c>
      <c r="C56" s="228" t="s">
        <v>195</v>
      </c>
      <c r="D56" s="229" t="s">
        <v>3</v>
      </c>
      <c r="E56" s="230" t="s">
        <v>79</v>
      </c>
      <c r="F56" s="236">
        <v>200000</v>
      </c>
      <c r="G56" s="237" t="s">
        <v>200</v>
      </c>
      <c r="H56" s="238"/>
    </row>
    <row r="57" spans="1:8" ht="15.75">
      <c r="A57" s="243">
        <v>45</v>
      </c>
      <c r="B57" s="251">
        <f t="shared" si="7"/>
        <v>42127</v>
      </c>
      <c r="C57" s="228" t="s">
        <v>195</v>
      </c>
      <c r="D57" s="229" t="s">
        <v>3</v>
      </c>
      <c r="E57" s="230" t="s">
        <v>76</v>
      </c>
      <c r="F57" s="236">
        <v>300000</v>
      </c>
      <c r="G57" s="237" t="s">
        <v>200</v>
      </c>
    </row>
    <row r="58" spans="1:8" ht="15.75">
      <c r="A58" s="243">
        <v>46</v>
      </c>
      <c r="B58" s="251">
        <f t="shared" si="7"/>
        <v>42127</v>
      </c>
      <c r="C58" s="228" t="s">
        <v>195</v>
      </c>
      <c r="D58" s="229" t="s">
        <v>57</v>
      </c>
      <c r="E58" s="230" t="s">
        <v>186</v>
      </c>
      <c r="F58" s="236">
        <v>150000</v>
      </c>
      <c r="G58" s="237" t="s">
        <v>200</v>
      </c>
    </row>
    <row r="59" spans="1:8" ht="15.75">
      <c r="A59" s="243">
        <v>48</v>
      </c>
      <c r="B59" s="251">
        <f>B58</f>
        <v>42127</v>
      </c>
      <c r="C59" s="228" t="s">
        <v>195</v>
      </c>
      <c r="D59" s="229" t="s">
        <v>5</v>
      </c>
      <c r="E59" s="244" t="s">
        <v>378</v>
      </c>
      <c r="F59" s="236">
        <v>200000</v>
      </c>
      <c r="G59" s="237" t="s">
        <v>200</v>
      </c>
      <c r="H59" s="241"/>
    </row>
    <row r="60" spans="1:8" ht="15.75">
      <c r="A60" s="243">
        <v>49</v>
      </c>
      <c r="B60" s="251">
        <f t="shared" ref="B60" si="8">B59+1</f>
        <v>42128</v>
      </c>
      <c r="C60" s="228" t="s">
        <v>195</v>
      </c>
      <c r="D60" s="229"/>
      <c r="E60" s="239" t="s">
        <v>199</v>
      </c>
      <c r="F60" s="236"/>
      <c r="G60" s="237" t="s">
        <v>200</v>
      </c>
      <c r="H60" s="241"/>
    </row>
    <row r="61" spans="1:8" ht="15.75">
      <c r="A61" s="243">
        <v>51</v>
      </c>
      <c r="B61" s="251">
        <f>B60</f>
        <v>42128</v>
      </c>
      <c r="C61" s="228" t="s">
        <v>195</v>
      </c>
      <c r="D61" s="229" t="s">
        <v>2</v>
      </c>
      <c r="E61" s="230" t="s">
        <v>308</v>
      </c>
      <c r="F61" s="236">
        <v>1800000</v>
      </c>
      <c r="G61" s="237" t="s">
        <v>200</v>
      </c>
    </row>
    <row r="62" spans="1:8" ht="15.75">
      <c r="A62" s="243">
        <v>52</v>
      </c>
      <c r="B62" s="251">
        <f t="shared" ref="B62:B68" si="9">B61</f>
        <v>42128</v>
      </c>
      <c r="C62" s="228" t="s">
        <v>195</v>
      </c>
      <c r="D62" s="229" t="s">
        <v>2</v>
      </c>
      <c r="E62" s="230" t="s">
        <v>310</v>
      </c>
      <c r="F62" s="236">
        <v>3037500</v>
      </c>
      <c r="G62" s="237" t="s">
        <v>200</v>
      </c>
    </row>
    <row r="63" spans="1:8" ht="15.75">
      <c r="A63" s="243"/>
      <c r="B63" s="251">
        <f>B62</f>
        <v>42128</v>
      </c>
      <c r="C63" s="228" t="s">
        <v>195</v>
      </c>
      <c r="D63" s="229" t="s">
        <v>2</v>
      </c>
      <c r="E63" s="230" t="s">
        <v>311</v>
      </c>
      <c r="F63" s="236">
        <v>720000</v>
      </c>
      <c r="G63" s="237" t="str">
        <f>G62</f>
        <v>P.bdn jln</v>
      </c>
    </row>
    <row r="64" spans="1:8" ht="15.75">
      <c r="A64" s="243">
        <v>55</v>
      </c>
      <c r="B64" s="251">
        <f>B63</f>
        <v>42128</v>
      </c>
      <c r="C64" s="228" t="s">
        <v>195</v>
      </c>
      <c r="D64" s="229" t="s">
        <v>57</v>
      </c>
      <c r="E64" s="230" t="s">
        <v>375</v>
      </c>
      <c r="F64" s="236">
        <v>35000</v>
      </c>
      <c r="G64" s="237" t="s">
        <v>200</v>
      </c>
      <c r="H64" s="241"/>
    </row>
    <row r="65" spans="1:8" ht="15.75">
      <c r="A65" s="243">
        <v>57</v>
      </c>
      <c r="B65" s="251">
        <f>B64</f>
        <v>42128</v>
      </c>
      <c r="C65" s="228" t="s">
        <v>195</v>
      </c>
      <c r="D65" s="229" t="s">
        <v>3</v>
      </c>
      <c r="E65" s="230" t="s">
        <v>79</v>
      </c>
      <c r="F65" s="236">
        <v>200000</v>
      </c>
      <c r="G65" s="237" t="s">
        <v>200</v>
      </c>
    </row>
    <row r="66" spans="1:8" ht="15.75">
      <c r="A66" s="243">
        <v>58</v>
      </c>
      <c r="B66" s="251">
        <f t="shared" si="9"/>
        <v>42128</v>
      </c>
      <c r="C66" s="228" t="s">
        <v>195</v>
      </c>
      <c r="D66" s="229" t="s">
        <v>3</v>
      </c>
      <c r="E66" s="230" t="s">
        <v>76</v>
      </c>
      <c r="F66" s="236">
        <v>300000</v>
      </c>
      <c r="G66" s="237" t="s">
        <v>200</v>
      </c>
    </row>
    <row r="67" spans="1:8" ht="15.75">
      <c r="A67" s="243">
        <v>59</v>
      </c>
      <c r="B67" s="251">
        <f t="shared" si="9"/>
        <v>42128</v>
      </c>
      <c r="C67" s="228" t="s">
        <v>195</v>
      </c>
      <c r="D67" s="229" t="s">
        <v>57</v>
      </c>
      <c r="E67" s="230" t="s">
        <v>186</v>
      </c>
      <c r="F67" s="236">
        <v>150000</v>
      </c>
      <c r="G67" s="237" t="s">
        <v>200</v>
      </c>
    </row>
    <row r="68" spans="1:8" ht="15.75">
      <c r="A68" s="243">
        <v>62</v>
      </c>
      <c r="B68" s="251">
        <f t="shared" si="9"/>
        <v>42128</v>
      </c>
      <c r="C68" s="228" t="s">
        <v>195</v>
      </c>
      <c r="D68" s="229" t="s">
        <v>5</v>
      </c>
      <c r="E68" s="244" t="s">
        <v>378</v>
      </c>
      <c r="F68" s="236">
        <v>200000</v>
      </c>
      <c r="G68" s="237" t="s">
        <v>200</v>
      </c>
      <c r="H68" s="241"/>
    </row>
    <row r="69" spans="1:8" ht="15.75">
      <c r="A69" s="243"/>
      <c r="B69" s="251">
        <f>B68+1</f>
        <v>42129</v>
      </c>
      <c r="C69" s="228" t="s">
        <v>195</v>
      </c>
      <c r="D69" s="229"/>
      <c r="E69" s="239" t="s">
        <v>199</v>
      </c>
      <c r="F69" s="236"/>
      <c r="G69" s="237" t="str">
        <f>G68</f>
        <v>P.bdn jln</v>
      </c>
    </row>
    <row r="70" spans="1:8" ht="15.75">
      <c r="A70" s="243">
        <v>68</v>
      </c>
      <c r="B70" s="251">
        <f>B69</f>
        <v>42129</v>
      </c>
      <c r="C70" s="228" t="s">
        <v>195</v>
      </c>
      <c r="D70" s="229" t="s">
        <v>57</v>
      </c>
      <c r="E70" s="230" t="s">
        <v>376</v>
      </c>
      <c r="F70" s="236">
        <f>Budget!G33/5</f>
        <v>1170000</v>
      </c>
      <c r="G70" s="237" t="s">
        <v>200</v>
      </c>
    </row>
    <row r="71" spans="1:8" ht="15.75">
      <c r="A71" s="243">
        <v>69</v>
      </c>
      <c r="B71" s="251">
        <f t="shared" ref="B71:B82" si="10">B70</f>
        <v>42129</v>
      </c>
      <c r="C71" s="228" t="s">
        <v>195</v>
      </c>
      <c r="D71" s="229" t="s">
        <v>2</v>
      </c>
      <c r="E71" s="230" t="s">
        <v>375</v>
      </c>
      <c r="F71" s="236">
        <f>Budget!G34/9</f>
        <v>35000</v>
      </c>
      <c r="G71" s="237" t="s">
        <v>200</v>
      </c>
      <c r="H71" s="241"/>
    </row>
    <row r="72" spans="1:8" ht="15.75">
      <c r="A72" s="243">
        <v>70</v>
      </c>
      <c r="B72" s="251">
        <f t="shared" si="10"/>
        <v>42129</v>
      </c>
      <c r="C72" s="228" t="s">
        <v>195</v>
      </c>
      <c r="D72" s="229" t="s">
        <v>3</v>
      </c>
      <c r="E72" s="230" t="s">
        <v>79</v>
      </c>
      <c r="F72" s="236">
        <v>200000</v>
      </c>
      <c r="G72" s="237" t="s">
        <v>200</v>
      </c>
      <c r="H72" s="241"/>
    </row>
    <row r="73" spans="1:8" ht="15.75">
      <c r="A73" s="243">
        <v>71</v>
      </c>
      <c r="B73" s="251">
        <f t="shared" si="10"/>
        <v>42129</v>
      </c>
      <c r="C73" s="228" t="s">
        <v>195</v>
      </c>
      <c r="D73" s="229" t="s">
        <v>3</v>
      </c>
      <c r="E73" s="230" t="s">
        <v>76</v>
      </c>
      <c r="F73" s="236">
        <v>300000</v>
      </c>
      <c r="G73" s="237" t="s">
        <v>200</v>
      </c>
    </row>
    <row r="74" spans="1:8" ht="15.75">
      <c r="A74" s="243">
        <v>72</v>
      </c>
      <c r="B74" s="251">
        <f t="shared" si="10"/>
        <v>42129</v>
      </c>
      <c r="C74" s="228" t="s">
        <v>195</v>
      </c>
      <c r="D74" s="229" t="s">
        <v>57</v>
      </c>
      <c r="E74" s="230" t="s">
        <v>186</v>
      </c>
      <c r="F74" s="236">
        <v>150000</v>
      </c>
      <c r="G74" s="237" t="s">
        <v>200</v>
      </c>
    </row>
    <row r="75" spans="1:8" ht="15.75">
      <c r="A75" s="243">
        <v>73</v>
      </c>
      <c r="B75" s="251">
        <f t="shared" si="10"/>
        <v>42129</v>
      </c>
      <c r="C75" s="228" t="s">
        <v>195</v>
      </c>
      <c r="D75" s="229" t="s">
        <v>57</v>
      </c>
      <c r="E75" s="230" t="s">
        <v>377</v>
      </c>
      <c r="F75" s="236">
        <f>Budget!G38/5</f>
        <v>200000</v>
      </c>
      <c r="G75" s="237" t="s">
        <v>200</v>
      </c>
    </row>
    <row r="76" spans="1:8" ht="15" customHeight="1">
      <c r="A76" s="243">
        <v>21</v>
      </c>
      <c r="B76" s="251">
        <f t="shared" si="10"/>
        <v>42129</v>
      </c>
      <c r="C76" s="228" t="s">
        <v>195</v>
      </c>
      <c r="D76" s="229"/>
      <c r="E76" s="239" t="s">
        <v>202</v>
      </c>
      <c r="F76" s="236"/>
      <c r="G76" s="237" t="s">
        <v>204</v>
      </c>
    </row>
    <row r="77" spans="1:8" ht="16.5" customHeight="1">
      <c r="A77" s="243">
        <v>22</v>
      </c>
      <c r="B77" s="251">
        <f t="shared" si="10"/>
        <v>42129</v>
      </c>
      <c r="C77" s="228" t="s">
        <v>195</v>
      </c>
      <c r="D77" s="229" t="s">
        <v>2</v>
      </c>
      <c r="E77" s="230" t="s">
        <v>203</v>
      </c>
      <c r="F77" s="236">
        <f>Budget!G48/9</f>
        <v>1350000</v>
      </c>
      <c r="G77" s="237" t="s">
        <v>204</v>
      </c>
    </row>
    <row r="78" spans="1:8" ht="15" customHeight="1">
      <c r="A78" s="243">
        <v>23</v>
      </c>
      <c r="B78" s="251">
        <f t="shared" si="10"/>
        <v>42129</v>
      </c>
      <c r="C78" s="228" t="s">
        <v>195</v>
      </c>
      <c r="D78" s="229" t="s">
        <v>3</v>
      </c>
      <c r="E78" s="230" t="s">
        <v>201</v>
      </c>
      <c r="F78" s="236">
        <f>Budget!G49/9</f>
        <v>200000</v>
      </c>
      <c r="G78" s="237" t="s">
        <v>204</v>
      </c>
    </row>
    <row r="79" spans="1:8" ht="15" customHeight="1">
      <c r="A79" s="243">
        <v>24</v>
      </c>
      <c r="B79" s="251">
        <f t="shared" si="10"/>
        <v>42129</v>
      </c>
      <c r="C79" s="228" t="s">
        <v>195</v>
      </c>
      <c r="D79" s="229" t="s">
        <v>3</v>
      </c>
      <c r="E79" s="230" t="s">
        <v>76</v>
      </c>
      <c r="F79" s="236">
        <f>Budget!G52/9</f>
        <v>300000</v>
      </c>
      <c r="G79" s="237" t="s">
        <v>204</v>
      </c>
    </row>
    <row r="80" spans="1:8" ht="15" customHeight="1">
      <c r="A80" s="243">
        <v>25</v>
      </c>
      <c r="B80" s="251">
        <f t="shared" si="10"/>
        <v>42129</v>
      </c>
      <c r="C80" s="228" t="s">
        <v>195</v>
      </c>
      <c r="D80" s="229" t="s">
        <v>2</v>
      </c>
      <c r="E80" s="230" t="s">
        <v>174</v>
      </c>
      <c r="F80" s="236">
        <f>Budget!G53/9</f>
        <v>315000</v>
      </c>
      <c r="G80" s="237" t="s">
        <v>204</v>
      </c>
    </row>
    <row r="81" spans="1:8" ht="15" customHeight="1">
      <c r="A81" s="243">
        <v>26</v>
      </c>
      <c r="B81" s="251">
        <f t="shared" si="10"/>
        <v>42129</v>
      </c>
      <c r="C81" s="228" t="s">
        <v>195</v>
      </c>
      <c r="D81" s="229" t="s">
        <v>57</v>
      </c>
      <c r="E81" s="230" t="s">
        <v>187</v>
      </c>
      <c r="F81" s="236">
        <f>Budget!G56/9</f>
        <v>105000</v>
      </c>
      <c r="G81" s="237" t="s">
        <v>204</v>
      </c>
      <c r="H81" s="241"/>
    </row>
    <row r="82" spans="1:8" ht="15" customHeight="1">
      <c r="A82" s="243">
        <v>27</v>
      </c>
      <c r="B82" s="251">
        <f t="shared" si="10"/>
        <v>42129</v>
      </c>
      <c r="C82" s="228" t="s">
        <v>195</v>
      </c>
      <c r="D82" s="229" t="s">
        <v>57</v>
      </c>
      <c r="E82" s="230" t="s">
        <v>184</v>
      </c>
      <c r="F82" s="236">
        <f>Budget!G57/9</f>
        <v>75000</v>
      </c>
      <c r="G82" s="237" t="s">
        <v>204</v>
      </c>
      <c r="H82" s="241"/>
    </row>
    <row r="83" spans="1:8" ht="15.75">
      <c r="A83" s="243">
        <v>75</v>
      </c>
      <c r="B83" s="251">
        <f>B75+1</f>
        <v>42130</v>
      </c>
      <c r="C83" s="228" t="s">
        <v>195</v>
      </c>
      <c r="D83" s="229"/>
      <c r="E83" s="239" t="s">
        <v>199</v>
      </c>
      <c r="F83" s="236"/>
      <c r="G83" s="237" t="s">
        <v>200</v>
      </c>
    </row>
    <row r="84" spans="1:8" ht="15.75">
      <c r="A84" s="243">
        <v>80</v>
      </c>
      <c r="B84" s="251">
        <f>B83</f>
        <v>42130</v>
      </c>
      <c r="C84" s="228" t="s">
        <v>195</v>
      </c>
      <c r="D84" s="229" t="s">
        <v>57</v>
      </c>
      <c r="E84" s="230" t="s">
        <v>376</v>
      </c>
      <c r="F84" s="236">
        <v>1170000</v>
      </c>
      <c r="G84" s="237" t="s">
        <v>200</v>
      </c>
    </row>
    <row r="85" spans="1:8" ht="15.75">
      <c r="A85" s="243"/>
      <c r="B85" s="251">
        <f>B84</f>
        <v>42130</v>
      </c>
      <c r="C85" s="228" t="s">
        <v>195</v>
      </c>
      <c r="D85" s="229" t="s">
        <v>2</v>
      </c>
      <c r="E85" s="230" t="s">
        <v>375</v>
      </c>
      <c r="F85" s="236">
        <v>35000</v>
      </c>
      <c r="G85" s="237" t="str">
        <f>G84</f>
        <v>P.bdn jln</v>
      </c>
    </row>
    <row r="86" spans="1:8" ht="15.75">
      <c r="A86" s="243">
        <v>81</v>
      </c>
      <c r="B86" s="251">
        <f>B84</f>
        <v>42130</v>
      </c>
      <c r="C86" s="228" t="s">
        <v>195</v>
      </c>
      <c r="D86" s="229" t="s">
        <v>3</v>
      </c>
      <c r="E86" s="230" t="s">
        <v>79</v>
      </c>
      <c r="F86" s="236">
        <v>200000</v>
      </c>
      <c r="G86" s="237" t="s">
        <v>200</v>
      </c>
    </row>
    <row r="87" spans="1:8" ht="15.75">
      <c r="A87" s="243">
        <v>82</v>
      </c>
      <c r="B87" s="251">
        <f t="shared" ref="B87:B96" si="11">B86</f>
        <v>42130</v>
      </c>
      <c r="C87" s="228" t="s">
        <v>195</v>
      </c>
      <c r="D87" s="229" t="s">
        <v>3</v>
      </c>
      <c r="E87" s="230" t="s">
        <v>76</v>
      </c>
      <c r="F87" s="236">
        <v>300000</v>
      </c>
      <c r="G87" s="237" t="s">
        <v>200</v>
      </c>
    </row>
    <row r="88" spans="1:8" ht="15.75">
      <c r="A88" s="243">
        <v>83</v>
      </c>
      <c r="B88" s="251">
        <f t="shared" si="11"/>
        <v>42130</v>
      </c>
      <c r="C88" s="228" t="s">
        <v>195</v>
      </c>
      <c r="D88" s="229" t="s">
        <v>57</v>
      </c>
      <c r="E88" s="230" t="s">
        <v>186</v>
      </c>
      <c r="F88" s="236">
        <v>150000</v>
      </c>
      <c r="G88" s="237" t="s">
        <v>200</v>
      </c>
    </row>
    <row r="89" spans="1:8" ht="15.75">
      <c r="A89" s="243">
        <v>84</v>
      </c>
      <c r="B89" s="251">
        <f t="shared" si="11"/>
        <v>42130</v>
      </c>
      <c r="C89" s="228" t="s">
        <v>195</v>
      </c>
      <c r="D89" s="229" t="s">
        <v>57</v>
      </c>
      <c r="E89" s="230" t="s">
        <v>377</v>
      </c>
      <c r="F89" s="236">
        <v>200000</v>
      </c>
      <c r="G89" s="237" t="s">
        <v>200</v>
      </c>
    </row>
    <row r="90" spans="1:8" ht="15" customHeight="1">
      <c r="A90" s="243">
        <v>21</v>
      </c>
      <c r="B90" s="251">
        <f>B89</f>
        <v>42130</v>
      </c>
      <c r="C90" s="228" t="s">
        <v>195</v>
      </c>
      <c r="D90" s="229"/>
      <c r="E90" s="239" t="s">
        <v>202</v>
      </c>
      <c r="F90" s="236"/>
      <c r="G90" s="237" t="s">
        <v>204</v>
      </c>
    </row>
    <row r="91" spans="1:8" ht="16.5" customHeight="1">
      <c r="A91" s="243">
        <v>22</v>
      </c>
      <c r="B91" s="251">
        <f t="shared" si="11"/>
        <v>42130</v>
      </c>
      <c r="C91" s="228" t="s">
        <v>195</v>
      </c>
      <c r="D91" s="229" t="s">
        <v>2</v>
      </c>
      <c r="E91" s="230" t="s">
        <v>203</v>
      </c>
      <c r="F91" s="236">
        <v>1350000</v>
      </c>
      <c r="G91" s="237" t="s">
        <v>204</v>
      </c>
    </row>
    <row r="92" spans="1:8" ht="15" customHeight="1">
      <c r="A92" s="243">
        <v>23</v>
      </c>
      <c r="B92" s="251">
        <f t="shared" si="11"/>
        <v>42130</v>
      </c>
      <c r="C92" s="228" t="s">
        <v>195</v>
      </c>
      <c r="D92" s="229" t="s">
        <v>3</v>
      </c>
      <c r="E92" s="230" t="s">
        <v>201</v>
      </c>
      <c r="F92" s="236">
        <v>200000</v>
      </c>
      <c r="G92" s="237" t="s">
        <v>204</v>
      </c>
    </row>
    <row r="93" spans="1:8" ht="15" customHeight="1">
      <c r="A93" s="243">
        <v>24</v>
      </c>
      <c r="B93" s="251">
        <f t="shared" si="11"/>
        <v>42130</v>
      </c>
      <c r="C93" s="228" t="s">
        <v>195</v>
      </c>
      <c r="D93" s="229" t="s">
        <v>3</v>
      </c>
      <c r="E93" s="230" t="s">
        <v>76</v>
      </c>
      <c r="F93" s="236">
        <v>300000</v>
      </c>
      <c r="G93" s="237" t="s">
        <v>204</v>
      </c>
    </row>
    <row r="94" spans="1:8" ht="15" customHeight="1">
      <c r="A94" s="243">
        <v>25</v>
      </c>
      <c r="B94" s="251">
        <f t="shared" si="11"/>
        <v>42130</v>
      </c>
      <c r="C94" s="228" t="s">
        <v>195</v>
      </c>
      <c r="D94" s="229" t="s">
        <v>2</v>
      </c>
      <c r="E94" s="230" t="s">
        <v>174</v>
      </c>
      <c r="F94" s="236">
        <v>315000</v>
      </c>
      <c r="G94" s="237" t="s">
        <v>204</v>
      </c>
    </row>
    <row r="95" spans="1:8" ht="15" customHeight="1">
      <c r="A95" s="243">
        <v>26</v>
      </c>
      <c r="B95" s="251">
        <f t="shared" si="11"/>
        <v>42130</v>
      </c>
      <c r="C95" s="228" t="s">
        <v>195</v>
      </c>
      <c r="D95" s="229" t="s">
        <v>57</v>
      </c>
      <c r="E95" s="230" t="s">
        <v>187</v>
      </c>
      <c r="F95" s="236">
        <v>105000</v>
      </c>
      <c r="G95" s="237" t="s">
        <v>204</v>
      </c>
      <c r="H95" s="241"/>
    </row>
    <row r="96" spans="1:8" ht="15" customHeight="1">
      <c r="A96" s="243">
        <v>27</v>
      </c>
      <c r="B96" s="251">
        <f t="shared" si="11"/>
        <v>42130</v>
      </c>
      <c r="C96" s="228" t="s">
        <v>195</v>
      </c>
      <c r="D96" s="229" t="s">
        <v>57</v>
      </c>
      <c r="E96" s="230" t="s">
        <v>184</v>
      </c>
      <c r="F96" s="236">
        <v>75000</v>
      </c>
      <c r="G96" s="237" t="s">
        <v>204</v>
      </c>
      <c r="H96" s="241"/>
    </row>
    <row r="97" spans="1:8" ht="15.75">
      <c r="A97" s="243">
        <v>88</v>
      </c>
      <c r="B97" s="251">
        <f>B96+1</f>
        <v>42131</v>
      </c>
      <c r="C97" s="228" t="s">
        <v>195</v>
      </c>
      <c r="D97" s="229"/>
      <c r="E97" s="239" t="s">
        <v>199</v>
      </c>
      <c r="F97" s="236"/>
      <c r="G97" s="237" t="s">
        <v>200</v>
      </c>
    </row>
    <row r="98" spans="1:8" ht="15.75">
      <c r="A98" s="243">
        <v>93</v>
      </c>
      <c r="B98" s="251">
        <f>B97</f>
        <v>42131</v>
      </c>
      <c r="C98" s="228" t="s">
        <v>195</v>
      </c>
      <c r="D98" s="229" t="s">
        <v>57</v>
      </c>
      <c r="E98" s="230" t="s">
        <v>376</v>
      </c>
      <c r="F98" s="236">
        <v>1170000</v>
      </c>
      <c r="G98" s="237" t="s">
        <v>200</v>
      </c>
      <c r="H98" s="241"/>
    </row>
    <row r="99" spans="1:8" ht="15.75">
      <c r="A99" s="243">
        <v>94</v>
      </c>
      <c r="B99" s="251">
        <f t="shared" ref="B99:B110" si="12">B98</f>
        <v>42131</v>
      </c>
      <c r="C99" s="228" t="s">
        <v>195</v>
      </c>
      <c r="D99" s="229" t="s">
        <v>2</v>
      </c>
      <c r="E99" s="230" t="s">
        <v>375</v>
      </c>
      <c r="F99" s="236">
        <v>35000</v>
      </c>
      <c r="G99" s="237" t="str">
        <f>G98</f>
        <v>P.bdn jln</v>
      </c>
      <c r="H99" s="241"/>
    </row>
    <row r="100" spans="1:8" ht="15.75">
      <c r="A100" s="243">
        <v>95</v>
      </c>
      <c r="B100" s="251">
        <f t="shared" si="12"/>
        <v>42131</v>
      </c>
      <c r="C100" s="228" t="s">
        <v>195</v>
      </c>
      <c r="D100" s="229" t="s">
        <v>3</v>
      </c>
      <c r="E100" s="230" t="s">
        <v>79</v>
      </c>
      <c r="F100" s="236">
        <v>200000</v>
      </c>
      <c r="G100" s="237" t="s">
        <v>200</v>
      </c>
      <c r="H100" s="241"/>
    </row>
    <row r="101" spans="1:8" ht="15.75">
      <c r="A101" s="243"/>
      <c r="B101" s="251">
        <f>B100</f>
        <v>42131</v>
      </c>
      <c r="C101" s="228" t="str">
        <f>C100</f>
        <v>P-5E</v>
      </c>
      <c r="D101" s="229" t="s">
        <v>3</v>
      </c>
      <c r="E101" s="230" t="s">
        <v>76</v>
      </c>
      <c r="F101" s="236">
        <v>300000</v>
      </c>
      <c r="G101" s="237" t="s">
        <v>200</v>
      </c>
      <c r="H101" s="241"/>
    </row>
    <row r="102" spans="1:8" ht="15.75">
      <c r="A102" s="243">
        <v>96</v>
      </c>
      <c r="B102" s="251">
        <f>B100</f>
        <v>42131</v>
      </c>
      <c r="C102" s="228" t="s">
        <v>195</v>
      </c>
      <c r="D102" s="229" t="s">
        <v>57</v>
      </c>
      <c r="E102" s="230" t="s">
        <v>186</v>
      </c>
      <c r="F102" s="236">
        <v>150000</v>
      </c>
      <c r="G102" s="237" t="s">
        <v>200</v>
      </c>
    </row>
    <row r="103" spans="1:8" ht="15.75">
      <c r="A103" s="243">
        <v>97</v>
      </c>
      <c r="B103" s="251">
        <f t="shared" si="12"/>
        <v>42131</v>
      </c>
      <c r="C103" s="228" t="s">
        <v>195</v>
      </c>
      <c r="D103" s="229" t="s">
        <v>57</v>
      </c>
      <c r="E103" s="230" t="s">
        <v>377</v>
      </c>
      <c r="F103" s="236">
        <v>200000</v>
      </c>
      <c r="G103" s="237" t="s">
        <v>200</v>
      </c>
    </row>
    <row r="104" spans="1:8" ht="15" customHeight="1">
      <c r="A104" s="243">
        <v>21</v>
      </c>
      <c r="B104" s="251">
        <f>B103</f>
        <v>42131</v>
      </c>
      <c r="C104" s="228" t="s">
        <v>195</v>
      </c>
      <c r="D104" s="229"/>
      <c r="E104" s="239" t="s">
        <v>202</v>
      </c>
      <c r="F104" s="236"/>
      <c r="G104" s="237" t="s">
        <v>204</v>
      </c>
    </row>
    <row r="105" spans="1:8" ht="16.5" customHeight="1">
      <c r="A105" s="243">
        <v>22</v>
      </c>
      <c r="B105" s="251">
        <f t="shared" si="12"/>
        <v>42131</v>
      </c>
      <c r="C105" s="228" t="s">
        <v>195</v>
      </c>
      <c r="D105" s="229" t="s">
        <v>2</v>
      </c>
      <c r="E105" s="230" t="s">
        <v>203</v>
      </c>
      <c r="F105" s="236">
        <v>1350000</v>
      </c>
      <c r="G105" s="237" t="s">
        <v>204</v>
      </c>
    </row>
    <row r="106" spans="1:8" ht="15" customHeight="1">
      <c r="A106" s="243">
        <v>23</v>
      </c>
      <c r="B106" s="251">
        <f t="shared" si="12"/>
        <v>42131</v>
      </c>
      <c r="C106" s="228" t="s">
        <v>195</v>
      </c>
      <c r="D106" s="229" t="s">
        <v>3</v>
      </c>
      <c r="E106" s="230" t="s">
        <v>201</v>
      </c>
      <c r="F106" s="236">
        <v>200000</v>
      </c>
      <c r="G106" s="237" t="s">
        <v>204</v>
      </c>
    </row>
    <row r="107" spans="1:8" ht="15" customHeight="1">
      <c r="A107" s="243">
        <v>24</v>
      </c>
      <c r="B107" s="251">
        <f t="shared" si="12"/>
        <v>42131</v>
      </c>
      <c r="C107" s="228" t="s">
        <v>195</v>
      </c>
      <c r="D107" s="229" t="s">
        <v>3</v>
      </c>
      <c r="E107" s="230" t="s">
        <v>76</v>
      </c>
      <c r="F107" s="236">
        <v>300000</v>
      </c>
      <c r="G107" s="237" t="s">
        <v>204</v>
      </c>
    </row>
    <row r="108" spans="1:8" ht="15" customHeight="1">
      <c r="A108" s="243">
        <v>25</v>
      </c>
      <c r="B108" s="251">
        <f t="shared" si="12"/>
        <v>42131</v>
      </c>
      <c r="C108" s="228" t="s">
        <v>195</v>
      </c>
      <c r="D108" s="229" t="s">
        <v>2</v>
      </c>
      <c r="E108" s="230" t="s">
        <v>174</v>
      </c>
      <c r="F108" s="236">
        <v>315000</v>
      </c>
      <c r="G108" s="237" t="s">
        <v>204</v>
      </c>
    </row>
    <row r="109" spans="1:8" ht="15" customHeight="1">
      <c r="A109" s="243">
        <v>26</v>
      </c>
      <c r="B109" s="251">
        <f t="shared" si="12"/>
        <v>42131</v>
      </c>
      <c r="C109" s="228" t="s">
        <v>195</v>
      </c>
      <c r="D109" s="229" t="s">
        <v>57</v>
      </c>
      <c r="E109" s="230" t="s">
        <v>187</v>
      </c>
      <c r="F109" s="236">
        <v>105000</v>
      </c>
      <c r="G109" s="237" t="s">
        <v>204</v>
      </c>
      <c r="H109" s="241"/>
    </row>
    <row r="110" spans="1:8" ht="15" customHeight="1">
      <c r="A110" s="243">
        <v>27</v>
      </c>
      <c r="B110" s="251">
        <f t="shared" si="12"/>
        <v>42131</v>
      </c>
      <c r="C110" s="228" t="s">
        <v>195</v>
      </c>
      <c r="D110" s="229" t="s">
        <v>57</v>
      </c>
      <c r="E110" s="230" t="s">
        <v>184</v>
      </c>
      <c r="F110" s="236">
        <v>75000</v>
      </c>
      <c r="G110" s="237" t="s">
        <v>204</v>
      </c>
      <c r="H110" s="241"/>
    </row>
    <row r="111" spans="1:8" ht="15.75">
      <c r="A111" s="243">
        <v>101</v>
      </c>
      <c r="B111" s="251">
        <f>B110+1</f>
        <v>42132</v>
      </c>
      <c r="C111" s="228" t="s">
        <v>195</v>
      </c>
      <c r="D111" s="229"/>
      <c r="E111" s="239" t="s">
        <v>199</v>
      </c>
      <c r="F111" s="236"/>
      <c r="G111" s="237" t="s">
        <v>200</v>
      </c>
    </row>
    <row r="112" spans="1:8" ht="15.75">
      <c r="A112" s="243">
        <v>106</v>
      </c>
      <c r="B112" s="251">
        <f>B111</f>
        <v>42132</v>
      </c>
      <c r="C112" s="228" t="s">
        <v>195</v>
      </c>
      <c r="D112" s="229" t="s">
        <v>2</v>
      </c>
      <c r="E112" s="230" t="s">
        <v>376</v>
      </c>
      <c r="F112" s="236">
        <v>1170000</v>
      </c>
      <c r="G112" s="237" t="s">
        <v>200</v>
      </c>
    </row>
    <row r="113" spans="1:8" ht="15.75">
      <c r="A113" s="243">
        <v>107</v>
      </c>
      <c r="B113" s="251">
        <f t="shared" ref="B113:B124" si="13">B112</f>
        <v>42132</v>
      </c>
      <c r="C113" s="228" t="s">
        <v>195</v>
      </c>
      <c r="D113" s="229" t="s">
        <v>57</v>
      </c>
      <c r="E113" s="230" t="s">
        <v>375</v>
      </c>
      <c r="F113" s="236">
        <v>35000</v>
      </c>
      <c r="G113" s="237" t="s">
        <v>200</v>
      </c>
    </row>
    <row r="114" spans="1:8" ht="15.75">
      <c r="A114" s="243">
        <v>108</v>
      </c>
      <c r="B114" s="251">
        <f>B113</f>
        <v>42132</v>
      </c>
      <c r="C114" s="228" t="s">
        <v>195</v>
      </c>
      <c r="D114" s="229" t="s">
        <v>2</v>
      </c>
      <c r="E114" s="230" t="s">
        <v>79</v>
      </c>
      <c r="F114" s="236">
        <v>200000</v>
      </c>
      <c r="G114" s="237" t="s">
        <v>200</v>
      </c>
    </row>
    <row r="115" spans="1:8" ht="15.75">
      <c r="A115" s="243">
        <v>109</v>
      </c>
      <c r="B115" s="251">
        <f t="shared" si="13"/>
        <v>42132</v>
      </c>
      <c r="C115" s="228" t="s">
        <v>195</v>
      </c>
      <c r="D115" s="229" t="s">
        <v>3</v>
      </c>
      <c r="E115" s="230" t="s">
        <v>76</v>
      </c>
      <c r="F115" s="236">
        <v>300000</v>
      </c>
      <c r="G115" s="237" t="s">
        <v>200</v>
      </c>
    </row>
    <row r="116" spans="1:8" ht="15.75">
      <c r="A116" s="243">
        <v>110</v>
      </c>
      <c r="B116" s="251">
        <f t="shared" si="13"/>
        <v>42132</v>
      </c>
      <c r="C116" s="228" t="s">
        <v>195</v>
      </c>
      <c r="D116" s="229" t="s">
        <v>3</v>
      </c>
      <c r="E116" s="230" t="s">
        <v>186</v>
      </c>
      <c r="F116" s="236">
        <v>150000</v>
      </c>
      <c r="G116" s="237" t="s">
        <v>200</v>
      </c>
    </row>
    <row r="117" spans="1:8" ht="15.75">
      <c r="A117" s="243">
        <v>111</v>
      </c>
      <c r="B117" s="251">
        <f t="shared" si="13"/>
        <v>42132</v>
      </c>
      <c r="C117" s="228" t="s">
        <v>195</v>
      </c>
      <c r="D117" s="229" t="s">
        <v>57</v>
      </c>
      <c r="E117" s="230" t="s">
        <v>377</v>
      </c>
      <c r="F117" s="236">
        <v>200000</v>
      </c>
      <c r="G117" s="237" t="s">
        <v>200</v>
      </c>
    </row>
    <row r="118" spans="1:8" ht="15" customHeight="1">
      <c r="A118" s="243">
        <v>21</v>
      </c>
      <c r="B118" s="251">
        <f>B117</f>
        <v>42132</v>
      </c>
      <c r="C118" s="228" t="s">
        <v>195</v>
      </c>
      <c r="D118" s="229"/>
      <c r="E118" s="239" t="s">
        <v>202</v>
      </c>
      <c r="F118" s="236"/>
      <c r="G118" s="237" t="s">
        <v>204</v>
      </c>
    </row>
    <row r="119" spans="1:8" ht="16.5" customHeight="1">
      <c r="A119" s="243">
        <v>22</v>
      </c>
      <c r="B119" s="251">
        <f t="shared" si="13"/>
        <v>42132</v>
      </c>
      <c r="C119" s="228" t="s">
        <v>195</v>
      </c>
      <c r="D119" s="229" t="s">
        <v>2</v>
      </c>
      <c r="E119" s="230" t="s">
        <v>203</v>
      </c>
      <c r="F119" s="236">
        <v>1350000</v>
      </c>
      <c r="G119" s="237" t="s">
        <v>204</v>
      </c>
    </row>
    <row r="120" spans="1:8" ht="15" customHeight="1">
      <c r="A120" s="243">
        <v>23</v>
      </c>
      <c r="B120" s="251">
        <f t="shared" si="13"/>
        <v>42132</v>
      </c>
      <c r="C120" s="228" t="s">
        <v>195</v>
      </c>
      <c r="D120" s="229" t="s">
        <v>3</v>
      </c>
      <c r="E120" s="230" t="s">
        <v>201</v>
      </c>
      <c r="F120" s="236">
        <v>200000</v>
      </c>
      <c r="G120" s="237" t="s">
        <v>204</v>
      </c>
    </row>
    <row r="121" spans="1:8" ht="15" customHeight="1">
      <c r="A121" s="243">
        <v>24</v>
      </c>
      <c r="B121" s="251">
        <f t="shared" si="13"/>
        <v>42132</v>
      </c>
      <c r="C121" s="228" t="s">
        <v>195</v>
      </c>
      <c r="D121" s="229" t="s">
        <v>3</v>
      </c>
      <c r="E121" s="230" t="s">
        <v>76</v>
      </c>
      <c r="F121" s="236">
        <v>300000</v>
      </c>
      <c r="G121" s="237" t="s">
        <v>204</v>
      </c>
    </row>
    <row r="122" spans="1:8" ht="15" customHeight="1">
      <c r="A122" s="243">
        <v>25</v>
      </c>
      <c r="B122" s="251">
        <f t="shared" si="13"/>
        <v>42132</v>
      </c>
      <c r="C122" s="228" t="s">
        <v>195</v>
      </c>
      <c r="D122" s="229" t="s">
        <v>2</v>
      </c>
      <c r="E122" s="230" t="s">
        <v>174</v>
      </c>
      <c r="F122" s="236">
        <v>315000</v>
      </c>
      <c r="G122" s="237" t="s">
        <v>204</v>
      </c>
    </row>
    <row r="123" spans="1:8" ht="15" customHeight="1">
      <c r="A123" s="243">
        <v>26</v>
      </c>
      <c r="B123" s="251">
        <f t="shared" si="13"/>
        <v>42132</v>
      </c>
      <c r="C123" s="228" t="s">
        <v>195</v>
      </c>
      <c r="D123" s="229" t="s">
        <v>57</v>
      </c>
      <c r="E123" s="230" t="s">
        <v>187</v>
      </c>
      <c r="F123" s="236">
        <v>105000</v>
      </c>
      <c r="G123" s="237" t="s">
        <v>204</v>
      </c>
      <c r="H123" s="241"/>
    </row>
    <row r="124" spans="1:8" ht="15" customHeight="1">
      <c r="A124" s="243">
        <v>27</v>
      </c>
      <c r="B124" s="251">
        <f t="shared" si="13"/>
        <v>42132</v>
      </c>
      <c r="C124" s="228" t="s">
        <v>195</v>
      </c>
      <c r="D124" s="229" t="s">
        <v>57</v>
      </c>
      <c r="E124" s="230" t="s">
        <v>184</v>
      </c>
      <c r="F124" s="236">
        <v>75000</v>
      </c>
      <c r="G124" s="237" t="s">
        <v>204</v>
      </c>
      <c r="H124" s="241"/>
    </row>
    <row r="125" spans="1:8" ht="15.75">
      <c r="A125" s="243">
        <v>114</v>
      </c>
      <c r="B125" s="251">
        <f>B124+1</f>
        <v>42133</v>
      </c>
      <c r="C125" s="228" t="s">
        <v>195</v>
      </c>
      <c r="D125" s="229"/>
      <c r="E125" s="239" t="s">
        <v>199</v>
      </c>
      <c r="F125" s="236"/>
      <c r="G125" s="237" t="s">
        <v>200</v>
      </c>
    </row>
    <row r="126" spans="1:8" ht="15.75">
      <c r="A126" s="243">
        <v>119</v>
      </c>
      <c r="B126" s="251">
        <f>B125</f>
        <v>42133</v>
      </c>
      <c r="C126" s="228" t="s">
        <v>195</v>
      </c>
      <c r="D126" s="229" t="s">
        <v>2</v>
      </c>
      <c r="E126" s="230" t="s">
        <v>376</v>
      </c>
      <c r="F126" s="236">
        <v>1170000</v>
      </c>
      <c r="G126" s="237" t="s">
        <v>200</v>
      </c>
      <c r="H126" s="241"/>
    </row>
    <row r="127" spans="1:8" ht="15.75">
      <c r="A127" s="243">
        <v>120</v>
      </c>
      <c r="B127" s="251">
        <f t="shared" ref="B127:B131" si="14">B126</f>
        <v>42133</v>
      </c>
      <c r="C127" s="228" t="s">
        <v>195</v>
      </c>
      <c r="D127" s="229" t="s">
        <v>57</v>
      </c>
      <c r="E127" s="230" t="s">
        <v>375</v>
      </c>
      <c r="F127" s="236">
        <v>35000</v>
      </c>
      <c r="G127" s="237" t="s">
        <v>200</v>
      </c>
    </row>
    <row r="128" spans="1:8" ht="15.75">
      <c r="A128" s="243">
        <v>121</v>
      </c>
      <c r="B128" s="251">
        <f t="shared" si="14"/>
        <v>42133</v>
      </c>
      <c r="C128" s="228" t="s">
        <v>195</v>
      </c>
      <c r="D128" s="229" t="s">
        <v>2</v>
      </c>
      <c r="E128" s="230" t="s">
        <v>79</v>
      </c>
      <c r="F128" s="236">
        <v>200000</v>
      </c>
      <c r="G128" s="237" t="s">
        <v>200</v>
      </c>
    </row>
    <row r="129" spans="1:9" ht="15.75">
      <c r="A129" s="243"/>
      <c r="B129" s="251">
        <f t="shared" si="14"/>
        <v>42133</v>
      </c>
      <c r="C129" s="228" t="s">
        <v>195</v>
      </c>
      <c r="D129" s="229" t="s">
        <v>3</v>
      </c>
      <c r="E129" s="230" t="s">
        <v>76</v>
      </c>
      <c r="F129" s="236">
        <v>300000</v>
      </c>
      <c r="G129" s="237" t="str">
        <f>G128</f>
        <v>P.bdn jln</v>
      </c>
    </row>
    <row r="130" spans="1:9" ht="15.75">
      <c r="A130" s="243">
        <v>122</v>
      </c>
      <c r="B130" s="251">
        <f t="shared" si="14"/>
        <v>42133</v>
      </c>
      <c r="C130" s="228" t="s">
        <v>195</v>
      </c>
      <c r="D130" s="229" t="s">
        <v>57</v>
      </c>
      <c r="E130" s="230" t="s">
        <v>186</v>
      </c>
      <c r="F130" s="236">
        <v>150000</v>
      </c>
      <c r="G130" s="237" t="s">
        <v>200</v>
      </c>
    </row>
    <row r="131" spans="1:9" ht="15.75">
      <c r="A131" s="243">
        <v>123</v>
      </c>
      <c r="B131" s="251">
        <f t="shared" si="14"/>
        <v>42133</v>
      </c>
      <c r="C131" s="228" t="s">
        <v>195</v>
      </c>
      <c r="D131" s="229" t="s">
        <v>57</v>
      </c>
      <c r="E131" s="230" t="s">
        <v>377</v>
      </c>
      <c r="F131" s="236">
        <v>200000</v>
      </c>
      <c r="G131" s="237" t="s">
        <v>200</v>
      </c>
    </row>
    <row r="132" spans="1:9" ht="15" customHeight="1">
      <c r="A132" s="243">
        <v>21</v>
      </c>
      <c r="B132" s="251">
        <f>B131</f>
        <v>42133</v>
      </c>
      <c r="C132" s="228" t="s">
        <v>195</v>
      </c>
      <c r="D132" s="229"/>
      <c r="E132" s="239" t="s">
        <v>202</v>
      </c>
      <c r="F132" s="236"/>
      <c r="G132" s="237" t="s">
        <v>204</v>
      </c>
    </row>
    <row r="133" spans="1:9" ht="16.5" customHeight="1">
      <c r="A133" s="243">
        <v>22</v>
      </c>
      <c r="B133" s="251">
        <f t="shared" ref="B133:B138" si="15">B132</f>
        <v>42133</v>
      </c>
      <c r="C133" s="228" t="s">
        <v>195</v>
      </c>
      <c r="D133" s="229" t="s">
        <v>2</v>
      </c>
      <c r="E133" s="230" t="s">
        <v>203</v>
      </c>
      <c r="F133" s="236">
        <v>1350000</v>
      </c>
      <c r="G133" s="237" t="s">
        <v>204</v>
      </c>
    </row>
    <row r="134" spans="1:9" ht="15" customHeight="1">
      <c r="A134" s="243">
        <v>23</v>
      </c>
      <c r="B134" s="251">
        <f t="shared" si="15"/>
        <v>42133</v>
      </c>
      <c r="C134" s="228" t="s">
        <v>195</v>
      </c>
      <c r="D134" s="229" t="s">
        <v>3</v>
      </c>
      <c r="E134" s="230" t="s">
        <v>201</v>
      </c>
      <c r="F134" s="236">
        <v>200000</v>
      </c>
      <c r="G134" s="237" t="s">
        <v>204</v>
      </c>
    </row>
    <row r="135" spans="1:9" ht="15" customHeight="1">
      <c r="A135" s="243">
        <v>24</v>
      </c>
      <c r="B135" s="251">
        <f t="shared" si="15"/>
        <v>42133</v>
      </c>
      <c r="C135" s="228" t="s">
        <v>195</v>
      </c>
      <c r="D135" s="229" t="s">
        <v>3</v>
      </c>
      <c r="E135" s="230" t="s">
        <v>76</v>
      </c>
      <c r="F135" s="236">
        <v>300000</v>
      </c>
      <c r="G135" s="237" t="s">
        <v>204</v>
      </c>
    </row>
    <row r="136" spans="1:9" ht="15" customHeight="1">
      <c r="A136" s="243">
        <v>25</v>
      </c>
      <c r="B136" s="251">
        <f t="shared" si="15"/>
        <v>42133</v>
      </c>
      <c r="C136" s="228" t="s">
        <v>195</v>
      </c>
      <c r="D136" s="229" t="s">
        <v>2</v>
      </c>
      <c r="E136" s="230" t="s">
        <v>174</v>
      </c>
      <c r="F136" s="236">
        <v>315000</v>
      </c>
      <c r="G136" s="237" t="s">
        <v>204</v>
      </c>
    </row>
    <row r="137" spans="1:9" ht="15" customHeight="1">
      <c r="A137" s="243">
        <v>26</v>
      </c>
      <c r="B137" s="251">
        <f t="shared" si="15"/>
        <v>42133</v>
      </c>
      <c r="C137" s="228" t="s">
        <v>195</v>
      </c>
      <c r="D137" s="229" t="s">
        <v>57</v>
      </c>
      <c r="E137" s="230" t="s">
        <v>187</v>
      </c>
      <c r="F137" s="236">
        <v>105000</v>
      </c>
      <c r="G137" s="237" t="s">
        <v>204</v>
      </c>
      <c r="H137" s="241"/>
    </row>
    <row r="138" spans="1:9" ht="15" customHeight="1">
      <c r="A138" s="243">
        <v>27</v>
      </c>
      <c r="B138" s="251">
        <f t="shared" si="15"/>
        <v>42133</v>
      </c>
      <c r="C138" s="228" t="s">
        <v>195</v>
      </c>
      <c r="D138" s="229" t="s">
        <v>57</v>
      </c>
      <c r="E138" s="230" t="s">
        <v>184</v>
      </c>
      <c r="F138" s="236">
        <v>75000</v>
      </c>
      <c r="G138" s="237" t="s">
        <v>204</v>
      </c>
      <c r="H138" s="241">
        <f>SUBTOTAL(9,F77:F138)</f>
        <v>19945000</v>
      </c>
      <c r="I138" s="227" t="s">
        <v>368</v>
      </c>
    </row>
    <row r="139" spans="1:9" ht="15.75">
      <c r="A139" s="243">
        <v>127</v>
      </c>
      <c r="B139" s="251">
        <f>B138+1</f>
        <v>42134</v>
      </c>
      <c r="C139" s="228" t="s">
        <v>195</v>
      </c>
      <c r="D139" s="229"/>
      <c r="E139" s="239" t="s">
        <v>202</v>
      </c>
      <c r="F139" s="236"/>
      <c r="G139" s="237" t="s">
        <v>204</v>
      </c>
    </row>
    <row r="140" spans="1:9" ht="15.75">
      <c r="A140" s="243">
        <v>128</v>
      </c>
      <c r="B140" s="251">
        <f t="shared" ref="B140:B145" si="16">B139</f>
        <v>42134</v>
      </c>
      <c r="C140" s="228" t="s">
        <v>195</v>
      </c>
      <c r="D140" s="229" t="s">
        <v>2</v>
      </c>
      <c r="E140" s="230" t="s">
        <v>203</v>
      </c>
      <c r="F140" s="236">
        <v>1350000</v>
      </c>
      <c r="G140" s="237" t="s">
        <v>204</v>
      </c>
    </row>
    <row r="141" spans="1:9" ht="15.75">
      <c r="A141" s="243">
        <v>129</v>
      </c>
      <c r="B141" s="251">
        <f t="shared" si="16"/>
        <v>42134</v>
      </c>
      <c r="C141" s="228" t="s">
        <v>195</v>
      </c>
      <c r="D141" s="229" t="s">
        <v>3</v>
      </c>
      <c r="E141" s="230" t="s">
        <v>201</v>
      </c>
      <c r="F141" s="236">
        <v>200000</v>
      </c>
      <c r="G141" s="237" t="s">
        <v>204</v>
      </c>
    </row>
    <row r="142" spans="1:9" ht="15.75">
      <c r="A142" s="243">
        <v>130</v>
      </c>
      <c r="B142" s="251">
        <f t="shared" si="16"/>
        <v>42134</v>
      </c>
      <c r="C142" s="228" t="s">
        <v>195</v>
      </c>
      <c r="D142" s="229" t="s">
        <v>3</v>
      </c>
      <c r="E142" s="230" t="s">
        <v>76</v>
      </c>
      <c r="F142" s="236">
        <v>300000</v>
      </c>
      <c r="G142" s="237" t="s">
        <v>204</v>
      </c>
    </row>
    <row r="143" spans="1:9" ht="15.75">
      <c r="A143" s="243">
        <v>131</v>
      </c>
      <c r="B143" s="251">
        <f t="shared" si="16"/>
        <v>42134</v>
      </c>
      <c r="C143" s="228" t="s">
        <v>195</v>
      </c>
      <c r="D143" s="229" t="s">
        <v>2</v>
      </c>
      <c r="E143" s="230" t="s">
        <v>174</v>
      </c>
      <c r="F143" s="236">
        <v>315000</v>
      </c>
      <c r="G143" s="237" t="s">
        <v>204</v>
      </c>
    </row>
    <row r="144" spans="1:9" ht="22.5" customHeight="1">
      <c r="A144" s="243">
        <v>132</v>
      </c>
      <c r="B144" s="251">
        <f t="shared" si="16"/>
        <v>42134</v>
      </c>
      <c r="C144" s="228" t="s">
        <v>195</v>
      </c>
      <c r="D144" s="229" t="s">
        <v>57</v>
      </c>
      <c r="E144" s="230" t="s">
        <v>187</v>
      </c>
      <c r="F144" s="236">
        <v>105000</v>
      </c>
      <c r="G144" s="237" t="s">
        <v>204</v>
      </c>
      <c r="H144" s="241"/>
    </row>
    <row r="145" spans="1:9" ht="15.75">
      <c r="A145" s="243">
        <v>133</v>
      </c>
      <c r="B145" s="251">
        <f t="shared" si="16"/>
        <v>42134</v>
      </c>
      <c r="C145" s="228" t="s">
        <v>195</v>
      </c>
      <c r="D145" s="229" t="s">
        <v>57</v>
      </c>
      <c r="E145" s="230" t="s">
        <v>184</v>
      </c>
      <c r="F145" s="236">
        <v>75000</v>
      </c>
      <c r="G145" s="237" t="s">
        <v>204</v>
      </c>
      <c r="H145" s="241"/>
    </row>
    <row r="146" spans="1:9" ht="15.75">
      <c r="A146" s="243">
        <v>134</v>
      </c>
      <c r="B146" s="251">
        <f>B145</f>
        <v>42134</v>
      </c>
      <c r="C146" s="228" t="s">
        <v>195</v>
      </c>
      <c r="D146" s="229"/>
      <c r="E146" s="239" t="s">
        <v>207</v>
      </c>
      <c r="F146" s="236"/>
      <c r="G146" s="237" t="s">
        <v>208</v>
      </c>
    </row>
    <row r="147" spans="1:9" ht="15.75">
      <c r="A147" s="243">
        <v>135</v>
      </c>
      <c r="B147" s="251">
        <f t="shared" ref="B147:B153" si="17">B146</f>
        <v>42134</v>
      </c>
      <c r="C147" s="228" t="s">
        <v>195</v>
      </c>
      <c r="D147" s="229" t="s">
        <v>42</v>
      </c>
      <c r="E147" s="230" t="s">
        <v>224</v>
      </c>
      <c r="F147" s="236">
        <f>Budget!G93</f>
        <v>5000000</v>
      </c>
      <c r="G147" s="237" t="s">
        <v>208</v>
      </c>
      <c r="H147" s="279">
        <f>SUBTOTAL(9,F147:F1612)</f>
        <v>3292096350.000001</v>
      </c>
    </row>
    <row r="148" spans="1:9" ht="15.75">
      <c r="A148" s="243"/>
      <c r="B148" s="251">
        <f>B147</f>
        <v>42134</v>
      </c>
      <c r="C148" s="228" t="str">
        <f>C147</f>
        <v>P-5E</v>
      </c>
      <c r="D148" s="229" t="s">
        <v>2</v>
      </c>
      <c r="E148" s="230" t="s">
        <v>382</v>
      </c>
      <c r="F148" s="236">
        <f>Budget!G94/20</f>
        <v>369450</v>
      </c>
      <c r="G148" s="237" t="s">
        <v>208</v>
      </c>
    </row>
    <row r="149" spans="1:9" ht="15.75">
      <c r="A149" s="243"/>
      <c r="B149" s="251">
        <f>B148</f>
        <v>42134</v>
      </c>
      <c r="C149" s="228" t="str">
        <f>C148</f>
        <v>P-5E</v>
      </c>
      <c r="D149" s="229" t="s">
        <v>2</v>
      </c>
      <c r="E149" s="230" t="s">
        <v>170</v>
      </c>
      <c r="F149" s="236">
        <f>Budget!G95/20</f>
        <v>1170000</v>
      </c>
      <c r="G149" s="237" t="s">
        <v>208</v>
      </c>
    </row>
    <row r="150" spans="1:9" ht="15.75">
      <c r="A150" s="243">
        <v>137</v>
      </c>
      <c r="B150" s="251">
        <f>B147</f>
        <v>42134</v>
      </c>
      <c r="C150" s="228" t="s">
        <v>195</v>
      </c>
      <c r="D150" s="229" t="s">
        <v>57</v>
      </c>
      <c r="E150" s="230" t="s">
        <v>79</v>
      </c>
      <c r="F150" s="236">
        <f>Budget!G96/20</f>
        <v>150000</v>
      </c>
      <c r="G150" s="237" t="s">
        <v>208</v>
      </c>
    </row>
    <row r="151" spans="1:9" ht="15.75">
      <c r="A151" s="243">
        <v>138</v>
      </c>
      <c r="B151" s="251">
        <f t="shared" si="17"/>
        <v>42134</v>
      </c>
      <c r="C151" s="228" t="s">
        <v>195</v>
      </c>
      <c r="D151" s="229" t="s">
        <v>57</v>
      </c>
      <c r="E151" s="230" t="s">
        <v>384</v>
      </c>
      <c r="F151" s="236">
        <f>Budget!G100/20</f>
        <v>35000</v>
      </c>
      <c r="G151" s="237" t="s">
        <v>208</v>
      </c>
    </row>
    <row r="152" spans="1:9" ht="15.75">
      <c r="A152" s="243">
        <v>139</v>
      </c>
      <c r="B152" s="251">
        <f t="shared" si="17"/>
        <v>42134</v>
      </c>
      <c r="C152" s="228" t="s">
        <v>195</v>
      </c>
      <c r="D152" s="229" t="s">
        <v>3</v>
      </c>
      <c r="E152" s="230" t="s">
        <v>76</v>
      </c>
      <c r="F152" s="236">
        <f>Budget!G101/20</f>
        <v>300000</v>
      </c>
      <c r="G152" s="237" t="s">
        <v>208</v>
      </c>
    </row>
    <row r="153" spans="1:9" ht="15.75">
      <c r="A153" s="243">
        <v>140</v>
      </c>
      <c r="B153" s="251">
        <f t="shared" si="17"/>
        <v>42134</v>
      </c>
      <c r="C153" s="228" t="s">
        <v>195</v>
      </c>
      <c r="D153" s="229" t="s">
        <v>57</v>
      </c>
      <c r="E153" s="230" t="s">
        <v>186</v>
      </c>
      <c r="F153" s="236">
        <f>Budget!G102/20</f>
        <v>150000</v>
      </c>
      <c r="G153" s="237" t="s">
        <v>208</v>
      </c>
    </row>
    <row r="154" spans="1:9" ht="15.75">
      <c r="A154" s="243">
        <v>141</v>
      </c>
      <c r="B154" s="251">
        <f>B153</f>
        <v>42134</v>
      </c>
      <c r="C154" s="228" t="str">
        <f>C153</f>
        <v>P-5E</v>
      </c>
      <c r="D154" s="229" t="s">
        <v>57</v>
      </c>
      <c r="E154" s="605" t="s">
        <v>313</v>
      </c>
      <c r="F154" s="236">
        <f>Budget!G103/20</f>
        <v>200000</v>
      </c>
      <c r="G154" s="237" t="s">
        <v>208</v>
      </c>
    </row>
    <row r="155" spans="1:9" ht="15.75">
      <c r="A155" s="243">
        <f t="shared" ref="A155" si="18">A154+1</f>
        <v>142</v>
      </c>
      <c r="B155" s="251">
        <f>B154</f>
        <v>42134</v>
      </c>
      <c r="C155" s="228" t="s">
        <v>195</v>
      </c>
      <c r="D155" s="229" t="s">
        <v>57</v>
      </c>
      <c r="E155" s="230" t="s">
        <v>226</v>
      </c>
      <c r="F155" s="236">
        <f>5*35000*14</f>
        <v>2450000</v>
      </c>
      <c r="G155" s="237" t="s">
        <v>225</v>
      </c>
      <c r="H155" s="227">
        <v>14</v>
      </c>
    </row>
    <row r="156" spans="1:9" ht="15.75">
      <c r="A156" s="320"/>
      <c r="B156" s="247"/>
      <c r="C156" s="248"/>
      <c r="D156" s="249"/>
      <c r="E156" s="321"/>
      <c r="F156" s="322"/>
      <c r="G156" s="323"/>
      <c r="I156" s="270"/>
    </row>
    <row r="157" spans="1:9" s="269" customFormat="1" ht="15">
      <c r="A157" s="262"/>
      <c r="B157" s="263" t="s">
        <v>189</v>
      </c>
      <c r="C157" s="264">
        <f>B154+1</f>
        <v>42135</v>
      </c>
      <c r="D157" s="264">
        <f>C157+13</f>
        <v>42148</v>
      </c>
      <c r="E157" s="265"/>
      <c r="F157" s="266">
        <f>SUM(F158:F380)</f>
        <v>166918354.34782609</v>
      </c>
      <c r="G157" s="267" t="s">
        <v>251</v>
      </c>
      <c r="H157" s="268"/>
      <c r="I157" s="227"/>
    </row>
    <row r="158" spans="1:9" ht="15.75">
      <c r="A158" s="243">
        <v>1</v>
      </c>
      <c r="B158" s="251">
        <f>C157</f>
        <v>42135</v>
      </c>
      <c r="C158" s="228" t="s">
        <v>195</v>
      </c>
      <c r="D158" s="229"/>
      <c r="E158" s="239" t="s">
        <v>202</v>
      </c>
      <c r="F158" s="236"/>
      <c r="G158" s="237" t="s">
        <v>204</v>
      </c>
      <c r="H158" s="233"/>
    </row>
    <row r="159" spans="1:9" ht="15.75">
      <c r="A159" s="243">
        <v>3</v>
      </c>
      <c r="B159" s="251">
        <f t="shared" ref="B159:B164" si="19">B158</f>
        <v>42135</v>
      </c>
      <c r="C159" s="228" t="s">
        <v>195</v>
      </c>
      <c r="D159" s="229" t="s">
        <v>2</v>
      </c>
      <c r="E159" s="230" t="s">
        <v>203</v>
      </c>
      <c r="F159" s="236">
        <v>1350000</v>
      </c>
      <c r="G159" s="237" t="s">
        <v>204</v>
      </c>
    </row>
    <row r="160" spans="1:9" ht="15.75">
      <c r="A160" s="243">
        <v>4</v>
      </c>
      <c r="B160" s="251">
        <f t="shared" si="19"/>
        <v>42135</v>
      </c>
      <c r="C160" s="228" t="s">
        <v>195</v>
      </c>
      <c r="D160" s="229" t="s">
        <v>3</v>
      </c>
      <c r="E160" s="230" t="s">
        <v>201</v>
      </c>
      <c r="F160" s="236">
        <v>200000</v>
      </c>
      <c r="G160" s="237" t="s">
        <v>204</v>
      </c>
      <c r="H160" s="226"/>
    </row>
    <row r="161" spans="1:8" ht="15.75">
      <c r="A161" s="243">
        <v>5</v>
      </c>
      <c r="B161" s="251">
        <f t="shared" si="19"/>
        <v>42135</v>
      </c>
      <c r="C161" s="228" t="s">
        <v>195</v>
      </c>
      <c r="D161" s="229" t="s">
        <v>3</v>
      </c>
      <c r="E161" s="230" t="s">
        <v>76</v>
      </c>
      <c r="F161" s="236">
        <v>300000</v>
      </c>
      <c r="G161" s="237" t="s">
        <v>204</v>
      </c>
    </row>
    <row r="162" spans="1:8" ht="15.75">
      <c r="A162" s="243">
        <v>6</v>
      </c>
      <c r="B162" s="251">
        <f t="shared" si="19"/>
        <v>42135</v>
      </c>
      <c r="C162" s="228" t="s">
        <v>195</v>
      </c>
      <c r="D162" s="229" t="s">
        <v>2</v>
      </c>
      <c r="E162" s="230" t="s">
        <v>174</v>
      </c>
      <c r="F162" s="236">
        <v>315000</v>
      </c>
      <c r="G162" s="237" t="s">
        <v>204</v>
      </c>
    </row>
    <row r="163" spans="1:8" ht="25.5">
      <c r="A163" s="243">
        <v>7</v>
      </c>
      <c r="B163" s="251">
        <f t="shared" si="19"/>
        <v>42135</v>
      </c>
      <c r="C163" s="228" t="s">
        <v>195</v>
      </c>
      <c r="D163" s="229" t="s">
        <v>57</v>
      </c>
      <c r="E163" s="230" t="s">
        <v>187</v>
      </c>
      <c r="F163" s="236">
        <v>105000</v>
      </c>
      <c r="G163" s="237" t="s">
        <v>204</v>
      </c>
      <c r="H163" s="241"/>
    </row>
    <row r="164" spans="1:8" ht="15.75">
      <c r="A164" s="243">
        <v>8</v>
      </c>
      <c r="B164" s="251">
        <f t="shared" si="19"/>
        <v>42135</v>
      </c>
      <c r="C164" s="228" t="s">
        <v>195</v>
      </c>
      <c r="D164" s="229" t="s">
        <v>57</v>
      </c>
      <c r="E164" s="230" t="s">
        <v>184</v>
      </c>
      <c r="F164" s="236">
        <v>75000</v>
      </c>
      <c r="G164" s="237" t="s">
        <v>204</v>
      </c>
      <c r="H164" s="241"/>
    </row>
    <row r="165" spans="1:8" ht="15.75">
      <c r="A165" s="243">
        <v>134</v>
      </c>
      <c r="B165" s="251">
        <f>B164</f>
        <v>42135</v>
      </c>
      <c r="C165" s="228" t="s">
        <v>195</v>
      </c>
      <c r="D165" s="229"/>
      <c r="E165" s="239" t="s">
        <v>207</v>
      </c>
      <c r="F165" s="236"/>
      <c r="G165" s="237" t="s">
        <v>208</v>
      </c>
    </row>
    <row r="166" spans="1:8" ht="15.75">
      <c r="A166" s="243">
        <v>135</v>
      </c>
      <c r="B166" s="251">
        <f t="shared" ref="B166:B172" si="20">B165</f>
        <v>42135</v>
      </c>
      <c r="C166" s="228" t="s">
        <v>195</v>
      </c>
      <c r="D166" s="606" t="s">
        <v>2</v>
      </c>
      <c r="E166" s="244" t="s">
        <v>382</v>
      </c>
      <c r="F166" s="607">
        <v>369450</v>
      </c>
      <c r="G166" s="608" t="s">
        <v>208</v>
      </c>
    </row>
    <row r="167" spans="1:8" ht="15.75">
      <c r="A167" s="243">
        <v>136</v>
      </c>
      <c r="B167" s="251">
        <f t="shared" si="20"/>
        <v>42135</v>
      </c>
      <c r="C167" s="228" t="s">
        <v>195</v>
      </c>
      <c r="D167" s="606" t="s">
        <v>2</v>
      </c>
      <c r="E167" s="244" t="s">
        <v>170</v>
      </c>
      <c r="F167" s="607">
        <v>1170000</v>
      </c>
      <c r="G167" s="608" t="s">
        <v>208</v>
      </c>
    </row>
    <row r="168" spans="1:8" ht="15.75">
      <c r="A168" s="243"/>
      <c r="B168" s="251">
        <f t="shared" si="20"/>
        <v>42135</v>
      </c>
      <c r="C168" s="228" t="s">
        <v>195</v>
      </c>
      <c r="D168" s="606" t="s">
        <v>57</v>
      </c>
      <c r="E168" s="244" t="s">
        <v>79</v>
      </c>
      <c r="F168" s="607">
        <v>150000</v>
      </c>
      <c r="G168" s="608" t="s">
        <v>208</v>
      </c>
    </row>
    <row r="169" spans="1:8" ht="15.75">
      <c r="A169" s="243"/>
      <c r="B169" s="251">
        <f t="shared" si="20"/>
        <v>42135</v>
      </c>
      <c r="C169" s="228" t="s">
        <v>195</v>
      </c>
      <c r="D169" s="606" t="s">
        <v>57</v>
      </c>
      <c r="E169" s="244" t="s">
        <v>384</v>
      </c>
      <c r="F169" s="607">
        <v>35000</v>
      </c>
      <c r="G169" s="608" t="s">
        <v>208</v>
      </c>
    </row>
    <row r="170" spans="1:8" ht="15.75">
      <c r="A170" s="243">
        <v>137</v>
      </c>
      <c r="B170" s="251">
        <f>B167</f>
        <v>42135</v>
      </c>
      <c r="C170" s="228" t="s">
        <v>195</v>
      </c>
      <c r="D170" s="606" t="s">
        <v>3</v>
      </c>
      <c r="E170" s="244" t="s">
        <v>76</v>
      </c>
      <c r="F170" s="607">
        <v>300000</v>
      </c>
      <c r="G170" s="608" t="s">
        <v>208</v>
      </c>
    </row>
    <row r="171" spans="1:8" ht="15.75">
      <c r="A171" s="243">
        <v>138</v>
      </c>
      <c r="B171" s="251">
        <f t="shared" si="20"/>
        <v>42135</v>
      </c>
      <c r="C171" s="228" t="s">
        <v>195</v>
      </c>
      <c r="D171" s="606" t="s">
        <v>57</v>
      </c>
      <c r="E171" s="244" t="s">
        <v>186</v>
      </c>
      <c r="F171" s="607">
        <v>150000</v>
      </c>
      <c r="G171" s="608" t="s">
        <v>208</v>
      </c>
    </row>
    <row r="172" spans="1:8" ht="15.75">
      <c r="A172" s="243">
        <v>139</v>
      </c>
      <c r="B172" s="251">
        <f t="shared" si="20"/>
        <v>42135</v>
      </c>
      <c r="C172" s="228" t="s">
        <v>195</v>
      </c>
      <c r="D172" s="606" t="s">
        <v>57</v>
      </c>
      <c r="E172" s="244" t="s">
        <v>313</v>
      </c>
      <c r="F172" s="607">
        <v>200000</v>
      </c>
      <c r="G172" s="608" t="s">
        <v>208</v>
      </c>
    </row>
    <row r="173" spans="1:8" ht="15.75">
      <c r="A173" s="243">
        <v>9</v>
      </c>
      <c r="B173" s="251">
        <f>B164+1</f>
        <v>42136</v>
      </c>
      <c r="C173" s="228" t="s">
        <v>195</v>
      </c>
      <c r="D173" s="229"/>
      <c r="E173" s="239" t="s">
        <v>202</v>
      </c>
      <c r="F173" s="236"/>
      <c r="G173" s="237" t="s">
        <v>204</v>
      </c>
    </row>
    <row r="174" spans="1:8" ht="15.75">
      <c r="A174" s="243">
        <v>10</v>
      </c>
      <c r="B174" s="251">
        <f t="shared" ref="B174:B179" si="21">B173</f>
        <v>42136</v>
      </c>
      <c r="C174" s="228" t="s">
        <v>195</v>
      </c>
      <c r="D174" s="229" t="s">
        <v>2</v>
      </c>
      <c r="E174" s="230" t="s">
        <v>203</v>
      </c>
      <c r="F174" s="236">
        <v>1350000</v>
      </c>
      <c r="G174" s="237" t="s">
        <v>204</v>
      </c>
    </row>
    <row r="175" spans="1:8" ht="15.75">
      <c r="A175" s="243">
        <v>11</v>
      </c>
      <c r="B175" s="251">
        <f t="shared" si="21"/>
        <v>42136</v>
      </c>
      <c r="C175" s="228" t="s">
        <v>195</v>
      </c>
      <c r="D175" s="229" t="s">
        <v>3</v>
      </c>
      <c r="E175" s="230" t="s">
        <v>201</v>
      </c>
      <c r="F175" s="236">
        <v>200000</v>
      </c>
      <c r="G175" s="237" t="s">
        <v>204</v>
      </c>
    </row>
    <row r="176" spans="1:8" ht="15.75">
      <c r="A176" s="243">
        <v>12</v>
      </c>
      <c r="B176" s="251">
        <f t="shared" si="21"/>
        <v>42136</v>
      </c>
      <c r="C176" s="228" t="s">
        <v>195</v>
      </c>
      <c r="D176" s="229" t="s">
        <v>3</v>
      </c>
      <c r="E176" s="230" t="s">
        <v>76</v>
      </c>
      <c r="F176" s="236">
        <v>300000</v>
      </c>
      <c r="G176" s="237" t="s">
        <v>204</v>
      </c>
    </row>
    <row r="177" spans="1:7" ht="15.75">
      <c r="A177" s="243">
        <v>13</v>
      </c>
      <c r="B177" s="251">
        <f t="shared" si="21"/>
        <v>42136</v>
      </c>
      <c r="C177" s="228" t="s">
        <v>195</v>
      </c>
      <c r="D177" s="229" t="s">
        <v>2</v>
      </c>
      <c r="E177" s="230" t="s">
        <v>174</v>
      </c>
      <c r="F177" s="236">
        <v>315000</v>
      </c>
      <c r="G177" s="237" t="s">
        <v>204</v>
      </c>
    </row>
    <row r="178" spans="1:7" ht="25.5">
      <c r="A178" s="243">
        <v>14</v>
      </c>
      <c r="B178" s="251">
        <f t="shared" si="21"/>
        <v>42136</v>
      </c>
      <c r="C178" s="228" t="s">
        <v>195</v>
      </c>
      <c r="D178" s="229" t="s">
        <v>57</v>
      </c>
      <c r="E178" s="230" t="s">
        <v>187</v>
      </c>
      <c r="F178" s="236">
        <v>105000</v>
      </c>
      <c r="G178" s="237" t="s">
        <v>204</v>
      </c>
    </row>
    <row r="179" spans="1:7" ht="15.75">
      <c r="A179" s="243">
        <v>15</v>
      </c>
      <c r="B179" s="251">
        <f t="shared" si="21"/>
        <v>42136</v>
      </c>
      <c r="C179" s="228" t="s">
        <v>195</v>
      </c>
      <c r="D179" s="229" t="s">
        <v>57</v>
      </c>
      <c r="E179" s="230" t="s">
        <v>184</v>
      </c>
      <c r="F179" s="236">
        <v>75000</v>
      </c>
      <c r="G179" s="237" t="s">
        <v>204</v>
      </c>
    </row>
    <row r="180" spans="1:7" ht="15.75">
      <c r="A180" s="243">
        <v>134</v>
      </c>
      <c r="B180" s="251">
        <f>B179</f>
        <v>42136</v>
      </c>
      <c r="C180" s="228" t="s">
        <v>195</v>
      </c>
      <c r="D180" s="229"/>
      <c r="E180" s="239" t="s">
        <v>207</v>
      </c>
      <c r="F180" s="236"/>
      <c r="G180" s="237" t="s">
        <v>208</v>
      </c>
    </row>
    <row r="181" spans="1:7" ht="15.75">
      <c r="A181" s="243">
        <v>135</v>
      </c>
      <c r="B181" s="251">
        <f t="shared" ref="B181:B187" si="22">B180</f>
        <v>42136</v>
      </c>
      <c r="C181" s="228" t="s">
        <v>195</v>
      </c>
      <c r="D181" s="606" t="s">
        <v>2</v>
      </c>
      <c r="E181" s="244" t="s">
        <v>382</v>
      </c>
      <c r="F181" s="607">
        <v>369450</v>
      </c>
      <c r="G181" s="608" t="s">
        <v>208</v>
      </c>
    </row>
    <row r="182" spans="1:7" ht="15.75">
      <c r="A182" s="243"/>
      <c r="B182" s="251">
        <f t="shared" si="22"/>
        <v>42136</v>
      </c>
      <c r="C182" s="228" t="s">
        <v>195</v>
      </c>
      <c r="D182" s="606" t="s">
        <v>2</v>
      </c>
      <c r="E182" s="244" t="s">
        <v>170</v>
      </c>
      <c r="F182" s="607">
        <v>1170000</v>
      </c>
      <c r="G182" s="608" t="s">
        <v>208</v>
      </c>
    </row>
    <row r="183" spans="1:7" ht="15.75">
      <c r="A183" s="243"/>
      <c r="B183" s="251">
        <f t="shared" si="22"/>
        <v>42136</v>
      </c>
      <c r="C183" s="228" t="s">
        <v>195</v>
      </c>
      <c r="D183" s="606" t="s">
        <v>57</v>
      </c>
      <c r="E183" s="244" t="s">
        <v>79</v>
      </c>
      <c r="F183" s="607">
        <v>150000</v>
      </c>
      <c r="G183" s="608" t="s">
        <v>208</v>
      </c>
    </row>
    <row r="184" spans="1:7" ht="15.75">
      <c r="A184" s="243">
        <v>136</v>
      </c>
      <c r="B184" s="251">
        <f t="shared" si="22"/>
        <v>42136</v>
      </c>
      <c r="C184" s="228" t="s">
        <v>195</v>
      </c>
      <c r="D184" s="606" t="s">
        <v>57</v>
      </c>
      <c r="E184" s="244" t="s">
        <v>384</v>
      </c>
      <c r="F184" s="607">
        <v>35000</v>
      </c>
      <c r="G184" s="608" t="s">
        <v>208</v>
      </c>
    </row>
    <row r="185" spans="1:7" ht="15.75">
      <c r="A185" s="243">
        <v>137</v>
      </c>
      <c r="B185" s="251">
        <f t="shared" si="22"/>
        <v>42136</v>
      </c>
      <c r="C185" s="228" t="s">
        <v>195</v>
      </c>
      <c r="D185" s="606" t="s">
        <v>3</v>
      </c>
      <c r="E185" s="244" t="s">
        <v>76</v>
      </c>
      <c r="F185" s="607">
        <v>300000</v>
      </c>
      <c r="G185" s="608" t="s">
        <v>208</v>
      </c>
    </row>
    <row r="186" spans="1:7" ht="15.75">
      <c r="A186" s="243">
        <v>138</v>
      </c>
      <c r="B186" s="251">
        <f t="shared" si="22"/>
        <v>42136</v>
      </c>
      <c r="C186" s="228" t="s">
        <v>195</v>
      </c>
      <c r="D186" s="606" t="s">
        <v>57</v>
      </c>
      <c r="E186" s="244" t="s">
        <v>186</v>
      </c>
      <c r="F186" s="607">
        <v>150000</v>
      </c>
      <c r="G186" s="608" t="s">
        <v>208</v>
      </c>
    </row>
    <row r="187" spans="1:7" ht="15.75">
      <c r="A187" s="243">
        <v>139</v>
      </c>
      <c r="B187" s="251">
        <f t="shared" si="22"/>
        <v>42136</v>
      </c>
      <c r="C187" s="228" t="s">
        <v>195</v>
      </c>
      <c r="D187" s="606" t="s">
        <v>57</v>
      </c>
      <c r="E187" s="244" t="s">
        <v>313</v>
      </c>
      <c r="F187" s="607">
        <v>200000</v>
      </c>
      <c r="G187" s="608" t="s">
        <v>208</v>
      </c>
    </row>
    <row r="188" spans="1:7" ht="15.75">
      <c r="A188" s="243">
        <v>16</v>
      </c>
      <c r="B188" s="251">
        <f>B179+1</f>
        <v>42137</v>
      </c>
      <c r="C188" s="228" t="s">
        <v>195</v>
      </c>
      <c r="D188" s="229"/>
      <c r="E188" s="239" t="s">
        <v>202</v>
      </c>
      <c r="F188" s="236"/>
      <c r="G188" s="237" t="s">
        <v>204</v>
      </c>
    </row>
    <row r="189" spans="1:7" ht="15.75">
      <c r="A189" s="243">
        <v>17</v>
      </c>
      <c r="B189" s="251">
        <f t="shared" ref="B189:B194" si="23">B188</f>
        <v>42137</v>
      </c>
      <c r="C189" s="228" t="s">
        <v>195</v>
      </c>
      <c r="D189" s="229" t="s">
        <v>2</v>
      </c>
      <c r="E189" s="230" t="s">
        <v>203</v>
      </c>
      <c r="F189" s="236">
        <v>1350000</v>
      </c>
      <c r="G189" s="237" t="s">
        <v>204</v>
      </c>
    </row>
    <row r="190" spans="1:7" ht="15.75">
      <c r="A190" s="243">
        <v>18</v>
      </c>
      <c r="B190" s="251">
        <f t="shared" si="23"/>
        <v>42137</v>
      </c>
      <c r="C190" s="228" t="s">
        <v>195</v>
      </c>
      <c r="D190" s="229" t="s">
        <v>3</v>
      </c>
      <c r="E190" s="230" t="s">
        <v>201</v>
      </c>
      <c r="F190" s="236">
        <v>200000</v>
      </c>
      <c r="G190" s="237" t="s">
        <v>204</v>
      </c>
    </row>
    <row r="191" spans="1:7" ht="15.75">
      <c r="A191" s="243">
        <v>19</v>
      </c>
      <c r="B191" s="251">
        <f t="shared" si="23"/>
        <v>42137</v>
      </c>
      <c r="C191" s="228" t="s">
        <v>195</v>
      </c>
      <c r="D191" s="229" t="s">
        <v>3</v>
      </c>
      <c r="E191" s="230" t="s">
        <v>76</v>
      </c>
      <c r="F191" s="236">
        <v>300000</v>
      </c>
      <c r="G191" s="237" t="s">
        <v>204</v>
      </c>
    </row>
    <row r="192" spans="1:7" ht="15.75">
      <c r="A192" s="243">
        <v>20</v>
      </c>
      <c r="B192" s="251">
        <f t="shared" si="23"/>
        <v>42137</v>
      </c>
      <c r="C192" s="228" t="s">
        <v>195</v>
      </c>
      <c r="D192" s="229" t="s">
        <v>2</v>
      </c>
      <c r="E192" s="230" t="s">
        <v>174</v>
      </c>
      <c r="F192" s="236">
        <v>315000</v>
      </c>
      <c r="G192" s="237" t="s">
        <v>204</v>
      </c>
    </row>
    <row r="193" spans="1:8" ht="25.5">
      <c r="A193" s="243">
        <v>21</v>
      </c>
      <c r="B193" s="251">
        <f t="shared" si="23"/>
        <v>42137</v>
      </c>
      <c r="C193" s="228" t="s">
        <v>195</v>
      </c>
      <c r="D193" s="229" t="s">
        <v>57</v>
      </c>
      <c r="E193" s="230" t="s">
        <v>187</v>
      </c>
      <c r="F193" s="236">
        <v>105000</v>
      </c>
      <c r="G193" s="237" t="s">
        <v>204</v>
      </c>
      <c r="H193" s="241"/>
    </row>
    <row r="194" spans="1:8" ht="15.75">
      <c r="A194" s="243">
        <v>22</v>
      </c>
      <c r="B194" s="251">
        <f t="shared" si="23"/>
        <v>42137</v>
      </c>
      <c r="C194" s="228" t="s">
        <v>195</v>
      </c>
      <c r="D194" s="229" t="s">
        <v>57</v>
      </c>
      <c r="E194" s="230" t="s">
        <v>184</v>
      </c>
      <c r="F194" s="236">
        <v>75000</v>
      </c>
      <c r="G194" s="237" t="s">
        <v>204</v>
      </c>
      <c r="H194" s="241">
        <f>SUBTOTAL(9,F77:F194)</f>
        <v>210816704.34782609</v>
      </c>
    </row>
    <row r="195" spans="1:8" ht="15.75">
      <c r="A195" s="243">
        <v>134</v>
      </c>
      <c r="B195" s="251">
        <f>B194</f>
        <v>42137</v>
      </c>
      <c r="C195" s="228" t="s">
        <v>195</v>
      </c>
      <c r="D195" s="229"/>
      <c r="E195" s="239" t="s">
        <v>207</v>
      </c>
      <c r="F195" s="236"/>
      <c r="G195" s="237" t="s">
        <v>208</v>
      </c>
    </row>
    <row r="196" spans="1:8" ht="15.75">
      <c r="A196" s="243">
        <v>135</v>
      </c>
      <c r="B196" s="251">
        <f t="shared" ref="B196:B202" si="24">B195</f>
        <v>42137</v>
      </c>
      <c r="C196" s="228" t="s">
        <v>195</v>
      </c>
      <c r="D196" s="606" t="s">
        <v>2</v>
      </c>
      <c r="E196" s="244" t="s">
        <v>382</v>
      </c>
      <c r="F196" s="607">
        <v>369450</v>
      </c>
      <c r="G196" s="608" t="s">
        <v>208</v>
      </c>
    </row>
    <row r="197" spans="1:8" ht="15.75">
      <c r="A197" s="243"/>
      <c r="B197" s="251">
        <f t="shared" si="24"/>
        <v>42137</v>
      </c>
      <c r="C197" s="228" t="s">
        <v>195</v>
      </c>
      <c r="D197" s="606" t="s">
        <v>2</v>
      </c>
      <c r="E197" s="244" t="s">
        <v>170</v>
      </c>
      <c r="F197" s="607">
        <v>1170000</v>
      </c>
      <c r="G197" s="608" t="s">
        <v>208</v>
      </c>
    </row>
    <row r="198" spans="1:8" ht="15.75">
      <c r="A198" s="243"/>
      <c r="B198" s="251">
        <f t="shared" si="24"/>
        <v>42137</v>
      </c>
      <c r="C198" s="228" t="s">
        <v>195</v>
      </c>
      <c r="D198" s="606" t="s">
        <v>57</v>
      </c>
      <c r="E198" s="244" t="s">
        <v>79</v>
      </c>
      <c r="F198" s="607">
        <v>150000</v>
      </c>
      <c r="G198" s="608" t="s">
        <v>208</v>
      </c>
    </row>
    <row r="199" spans="1:8" ht="15.75">
      <c r="A199" s="243">
        <v>136</v>
      </c>
      <c r="B199" s="251">
        <f t="shared" si="24"/>
        <v>42137</v>
      </c>
      <c r="C199" s="228" t="s">
        <v>195</v>
      </c>
      <c r="D199" s="606" t="s">
        <v>57</v>
      </c>
      <c r="E199" s="244" t="s">
        <v>384</v>
      </c>
      <c r="F199" s="607">
        <v>35000</v>
      </c>
      <c r="G199" s="608" t="s">
        <v>208</v>
      </c>
    </row>
    <row r="200" spans="1:8" ht="15.75">
      <c r="A200" s="243">
        <v>137</v>
      </c>
      <c r="B200" s="251">
        <f t="shared" si="24"/>
        <v>42137</v>
      </c>
      <c r="C200" s="228" t="s">
        <v>195</v>
      </c>
      <c r="D200" s="606" t="s">
        <v>3</v>
      </c>
      <c r="E200" s="244" t="s">
        <v>76</v>
      </c>
      <c r="F200" s="607">
        <v>300000</v>
      </c>
      <c r="G200" s="608" t="s">
        <v>208</v>
      </c>
    </row>
    <row r="201" spans="1:8" ht="15.75">
      <c r="A201" s="243">
        <v>138</v>
      </c>
      <c r="B201" s="251">
        <f t="shared" si="24"/>
        <v>42137</v>
      </c>
      <c r="C201" s="228" t="s">
        <v>195</v>
      </c>
      <c r="D201" s="606" t="s">
        <v>57</v>
      </c>
      <c r="E201" s="244" t="s">
        <v>186</v>
      </c>
      <c r="F201" s="607">
        <v>150000</v>
      </c>
      <c r="G201" s="608" t="s">
        <v>208</v>
      </c>
    </row>
    <row r="202" spans="1:8" ht="15.75">
      <c r="A202" s="243">
        <v>139</v>
      </c>
      <c r="B202" s="251">
        <f t="shared" si="24"/>
        <v>42137</v>
      </c>
      <c r="C202" s="228" t="s">
        <v>195</v>
      </c>
      <c r="D202" s="606" t="s">
        <v>57</v>
      </c>
      <c r="E202" s="244" t="s">
        <v>313</v>
      </c>
      <c r="F202" s="607">
        <v>200000</v>
      </c>
      <c r="G202" s="608" t="s">
        <v>208</v>
      </c>
    </row>
    <row r="203" spans="1:8" ht="15.75">
      <c r="A203" s="243">
        <v>23</v>
      </c>
      <c r="B203" s="251">
        <f>B202+1</f>
        <v>42138</v>
      </c>
      <c r="C203" s="228" t="s">
        <v>195</v>
      </c>
      <c r="D203" s="229"/>
      <c r="E203" s="239" t="s">
        <v>207</v>
      </c>
      <c r="F203" s="236"/>
      <c r="G203" s="237" t="s">
        <v>208</v>
      </c>
    </row>
    <row r="204" spans="1:8" ht="15.75">
      <c r="A204" s="243">
        <v>24</v>
      </c>
      <c r="B204" s="251">
        <f t="shared" ref="B204:B210" si="25">B203</f>
        <v>42138</v>
      </c>
      <c r="C204" s="228" t="s">
        <v>195</v>
      </c>
      <c r="D204" s="606" t="s">
        <v>2</v>
      </c>
      <c r="E204" s="244" t="s">
        <v>382</v>
      </c>
      <c r="F204" s="607">
        <v>369450</v>
      </c>
      <c r="G204" s="608" t="s">
        <v>208</v>
      </c>
    </row>
    <row r="205" spans="1:8" ht="15.75">
      <c r="A205" s="243">
        <v>25</v>
      </c>
      <c r="B205" s="251">
        <f t="shared" si="25"/>
        <v>42138</v>
      </c>
      <c r="C205" s="228" t="s">
        <v>195</v>
      </c>
      <c r="D205" s="606" t="s">
        <v>2</v>
      </c>
      <c r="E205" s="244" t="s">
        <v>170</v>
      </c>
      <c r="F205" s="607">
        <v>1170000</v>
      </c>
      <c r="G205" s="608" t="s">
        <v>208</v>
      </c>
    </row>
    <row r="206" spans="1:8" ht="15.75">
      <c r="A206" s="243"/>
      <c r="B206" s="251">
        <f t="shared" si="25"/>
        <v>42138</v>
      </c>
      <c r="C206" s="228" t="s">
        <v>195</v>
      </c>
      <c r="D206" s="606" t="s">
        <v>57</v>
      </c>
      <c r="E206" s="244" t="s">
        <v>79</v>
      </c>
      <c r="F206" s="607">
        <v>150000</v>
      </c>
      <c r="G206" s="608" t="s">
        <v>208</v>
      </c>
    </row>
    <row r="207" spans="1:8" ht="15.75">
      <c r="A207" s="243"/>
      <c r="B207" s="251">
        <f t="shared" si="25"/>
        <v>42138</v>
      </c>
      <c r="C207" s="228" t="s">
        <v>195</v>
      </c>
      <c r="D207" s="606" t="s">
        <v>57</v>
      </c>
      <c r="E207" s="244" t="s">
        <v>384</v>
      </c>
      <c r="F207" s="607">
        <v>35000</v>
      </c>
      <c r="G207" s="608" t="s">
        <v>208</v>
      </c>
    </row>
    <row r="208" spans="1:8" ht="15.75">
      <c r="A208" s="243">
        <v>26</v>
      </c>
      <c r="B208" s="251">
        <f>B205</f>
        <v>42138</v>
      </c>
      <c r="C208" s="228" t="s">
        <v>195</v>
      </c>
      <c r="D208" s="606" t="s">
        <v>3</v>
      </c>
      <c r="E208" s="244" t="s">
        <v>76</v>
      </c>
      <c r="F208" s="607">
        <v>300000</v>
      </c>
      <c r="G208" s="608" t="s">
        <v>208</v>
      </c>
    </row>
    <row r="209" spans="1:8" ht="15.75">
      <c r="A209" s="243">
        <v>27</v>
      </c>
      <c r="B209" s="251">
        <f t="shared" si="25"/>
        <v>42138</v>
      </c>
      <c r="C209" s="228" t="s">
        <v>195</v>
      </c>
      <c r="D209" s="606" t="s">
        <v>57</v>
      </c>
      <c r="E209" s="244" t="s">
        <v>186</v>
      </c>
      <c r="F209" s="607">
        <v>150000</v>
      </c>
      <c r="G209" s="608" t="s">
        <v>208</v>
      </c>
    </row>
    <row r="210" spans="1:8" ht="15.75">
      <c r="A210" s="243">
        <v>28</v>
      </c>
      <c r="B210" s="251">
        <f t="shared" si="25"/>
        <v>42138</v>
      </c>
      <c r="C210" s="228" t="s">
        <v>195</v>
      </c>
      <c r="D210" s="606" t="s">
        <v>57</v>
      </c>
      <c r="E210" s="244" t="s">
        <v>313</v>
      </c>
      <c r="F210" s="607">
        <v>200000</v>
      </c>
      <c r="G210" s="608" t="s">
        <v>208</v>
      </c>
    </row>
    <row r="211" spans="1:8" ht="15" customHeight="1">
      <c r="A211" s="243">
        <v>85</v>
      </c>
      <c r="B211" s="251">
        <f>B199+1</f>
        <v>42138</v>
      </c>
      <c r="C211" s="228" t="s">
        <v>195</v>
      </c>
      <c r="D211" s="229"/>
      <c r="E211" s="239" t="s">
        <v>205</v>
      </c>
      <c r="F211" s="236"/>
      <c r="G211" s="237" t="s">
        <v>206</v>
      </c>
    </row>
    <row r="212" spans="1:8" ht="15" customHeight="1">
      <c r="A212" s="243">
        <v>140</v>
      </c>
      <c r="B212" s="251">
        <f>B211</f>
        <v>42138</v>
      </c>
      <c r="C212" s="228" t="str">
        <f>C211</f>
        <v>P-5E</v>
      </c>
      <c r="D212" s="229" t="s">
        <v>5</v>
      </c>
      <c r="E212" s="244" t="s">
        <v>312</v>
      </c>
      <c r="F212" s="236">
        <f>Budget!G75</f>
        <v>500000</v>
      </c>
      <c r="G212" s="237" t="s">
        <v>206</v>
      </c>
      <c r="H212" s="282"/>
    </row>
    <row r="213" spans="1:8" ht="15" customHeight="1">
      <c r="A213" s="243">
        <v>195</v>
      </c>
      <c r="B213" s="251">
        <f>B211</f>
        <v>42138</v>
      </c>
      <c r="C213" s="228" t="s">
        <v>195</v>
      </c>
      <c r="D213" s="229" t="s">
        <v>2</v>
      </c>
      <c r="E213" s="230" t="s">
        <v>60</v>
      </c>
      <c r="F213" s="236">
        <f>Budget!G76/30</f>
        <v>1350000</v>
      </c>
      <c r="G213" s="237" t="s">
        <v>206</v>
      </c>
    </row>
    <row r="214" spans="1:8" ht="15" customHeight="1">
      <c r="A214" s="243">
        <v>250</v>
      </c>
      <c r="B214" s="251">
        <f t="shared" ref="B214:B218" si="26">B213</f>
        <v>42138</v>
      </c>
      <c r="C214" s="228" t="s">
        <v>195</v>
      </c>
      <c r="D214" s="229" t="s">
        <v>3</v>
      </c>
      <c r="E214" s="230" t="s">
        <v>79</v>
      </c>
      <c r="F214" s="236">
        <f>Budget!G77/30</f>
        <v>200000</v>
      </c>
      <c r="G214" s="237" t="s">
        <v>206</v>
      </c>
    </row>
    <row r="215" spans="1:8" ht="15" customHeight="1">
      <c r="A215" s="243">
        <v>305</v>
      </c>
      <c r="B215" s="251">
        <f t="shared" si="26"/>
        <v>42138</v>
      </c>
      <c r="C215" s="228" t="s">
        <v>195</v>
      </c>
      <c r="D215" s="229" t="s">
        <v>3</v>
      </c>
      <c r="E215" s="230" t="s">
        <v>76</v>
      </c>
      <c r="F215" s="236">
        <v>300000</v>
      </c>
      <c r="G215" s="237" t="s">
        <v>206</v>
      </c>
    </row>
    <row r="216" spans="1:8" ht="15" customHeight="1">
      <c r="A216" s="243">
        <v>360</v>
      </c>
      <c r="B216" s="251">
        <f t="shared" si="26"/>
        <v>42138</v>
      </c>
      <c r="C216" s="228" t="s">
        <v>195</v>
      </c>
      <c r="D216" s="229" t="s">
        <v>2</v>
      </c>
      <c r="E216" s="230" t="s">
        <v>174</v>
      </c>
      <c r="F216" s="236">
        <f>Budget!G81/30</f>
        <v>315000</v>
      </c>
      <c r="G216" s="237" t="s">
        <v>206</v>
      </c>
    </row>
    <row r="217" spans="1:8" ht="15" customHeight="1">
      <c r="A217" s="243">
        <v>415</v>
      </c>
      <c r="B217" s="251">
        <f t="shared" si="26"/>
        <v>42138</v>
      </c>
      <c r="C217" s="228" t="s">
        <v>195</v>
      </c>
      <c r="D217" s="229" t="s">
        <v>57</v>
      </c>
      <c r="E217" s="230" t="s">
        <v>187</v>
      </c>
      <c r="F217" s="236">
        <f>Budget!G84/30</f>
        <v>105000</v>
      </c>
      <c r="G217" s="237" t="s">
        <v>206</v>
      </c>
      <c r="H217" s="241"/>
    </row>
    <row r="218" spans="1:8" ht="15" customHeight="1">
      <c r="A218" s="243">
        <v>470</v>
      </c>
      <c r="B218" s="251">
        <f t="shared" si="26"/>
        <v>42138</v>
      </c>
      <c r="C218" s="228" t="s">
        <v>195</v>
      </c>
      <c r="D218" s="229" t="s">
        <v>57</v>
      </c>
      <c r="E218" s="230" t="s">
        <v>184</v>
      </c>
      <c r="F218" s="236">
        <f>Budget!G85/30</f>
        <v>75000</v>
      </c>
      <c r="G218" s="237" t="s">
        <v>206</v>
      </c>
      <c r="H218" s="241"/>
    </row>
    <row r="219" spans="1:8" ht="15.75">
      <c r="A219" s="243">
        <v>31</v>
      </c>
      <c r="B219" s="251">
        <f>B210+1</f>
        <v>42139</v>
      </c>
      <c r="C219" s="228" t="s">
        <v>195</v>
      </c>
      <c r="D219" s="229"/>
      <c r="E219" s="239" t="s">
        <v>207</v>
      </c>
      <c r="F219" s="236"/>
      <c r="G219" s="237" t="s">
        <v>208</v>
      </c>
    </row>
    <row r="220" spans="1:8" ht="15.75">
      <c r="A220" s="243">
        <v>32</v>
      </c>
      <c r="B220" s="251">
        <f t="shared" ref="B220:B226" si="27">B219</f>
        <v>42139</v>
      </c>
      <c r="C220" s="228" t="s">
        <v>195</v>
      </c>
      <c r="D220" s="606" t="s">
        <v>2</v>
      </c>
      <c r="E220" s="244" t="s">
        <v>382</v>
      </c>
      <c r="F220" s="607">
        <v>369450</v>
      </c>
      <c r="G220" s="608" t="s">
        <v>208</v>
      </c>
    </row>
    <row r="221" spans="1:8" ht="15.75">
      <c r="A221" s="243">
        <v>33</v>
      </c>
      <c r="B221" s="251">
        <f t="shared" si="27"/>
        <v>42139</v>
      </c>
      <c r="C221" s="228" t="s">
        <v>195</v>
      </c>
      <c r="D221" s="606" t="s">
        <v>2</v>
      </c>
      <c r="E221" s="244" t="s">
        <v>170</v>
      </c>
      <c r="F221" s="607">
        <v>1170000</v>
      </c>
      <c r="G221" s="608" t="s">
        <v>208</v>
      </c>
    </row>
    <row r="222" spans="1:8" ht="15.75">
      <c r="A222" s="243"/>
      <c r="B222" s="251">
        <f t="shared" si="27"/>
        <v>42139</v>
      </c>
      <c r="C222" s="228" t="s">
        <v>195</v>
      </c>
      <c r="D222" s="606" t="s">
        <v>57</v>
      </c>
      <c r="E222" s="244" t="s">
        <v>79</v>
      </c>
      <c r="F222" s="607">
        <v>150000</v>
      </c>
      <c r="G222" s="608" t="s">
        <v>208</v>
      </c>
    </row>
    <row r="223" spans="1:8" ht="15.75">
      <c r="A223" s="243"/>
      <c r="B223" s="251">
        <f t="shared" si="27"/>
        <v>42139</v>
      </c>
      <c r="C223" s="228" t="s">
        <v>195</v>
      </c>
      <c r="D223" s="606" t="s">
        <v>57</v>
      </c>
      <c r="E223" s="244" t="s">
        <v>384</v>
      </c>
      <c r="F223" s="607">
        <v>35000</v>
      </c>
      <c r="G223" s="608" t="s">
        <v>208</v>
      </c>
    </row>
    <row r="224" spans="1:8" ht="15.75">
      <c r="A224" s="243">
        <v>34</v>
      </c>
      <c r="B224" s="251">
        <f>B221</f>
        <v>42139</v>
      </c>
      <c r="C224" s="228" t="s">
        <v>195</v>
      </c>
      <c r="D224" s="606" t="s">
        <v>3</v>
      </c>
      <c r="E224" s="244" t="s">
        <v>76</v>
      </c>
      <c r="F224" s="607">
        <v>300000</v>
      </c>
      <c r="G224" s="608" t="s">
        <v>208</v>
      </c>
    </row>
    <row r="225" spans="1:8" ht="15.75">
      <c r="A225" s="243">
        <v>35</v>
      </c>
      <c r="B225" s="251">
        <f t="shared" si="27"/>
        <v>42139</v>
      </c>
      <c r="C225" s="228" t="s">
        <v>195</v>
      </c>
      <c r="D225" s="606" t="s">
        <v>57</v>
      </c>
      <c r="E225" s="244" t="s">
        <v>186</v>
      </c>
      <c r="F225" s="607">
        <v>150000</v>
      </c>
      <c r="G225" s="608" t="s">
        <v>208</v>
      </c>
      <c r="H225" s="241"/>
    </row>
    <row r="226" spans="1:8" ht="15.75">
      <c r="A226" s="243">
        <v>36</v>
      </c>
      <c r="B226" s="251">
        <f t="shared" si="27"/>
        <v>42139</v>
      </c>
      <c r="C226" s="228" t="s">
        <v>195</v>
      </c>
      <c r="D226" s="606" t="s">
        <v>57</v>
      </c>
      <c r="E226" s="244" t="s">
        <v>313</v>
      </c>
      <c r="F226" s="607">
        <v>200000</v>
      </c>
      <c r="G226" s="608" t="s">
        <v>208</v>
      </c>
      <c r="H226" s="241"/>
    </row>
    <row r="227" spans="1:8" ht="15" customHeight="1">
      <c r="A227" s="243">
        <v>85</v>
      </c>
      <c r="B227" s="251">
        <f>B226</f>
        <v>42139</v>
      </c>
      <c r="C227" s="228" t="s">
        <v>195</v>
      </c>
      <c r="D227" s="229"/>
      <c r="E227" s="239" t="s">
        <v>205</v>
      </c>
      <c r="F227" s="236"/>
      <c r="G227" s="237" t="s">
        <v>206</v>
      </c>
    </row>
    <row r="228" spans="1:8" ht="15" customHeight="1">
      <c r="A228" s="243">
        <v>195</v>
      </c>
      <c r="B228" s="251">
        <f>B227</f>
        <v>42139</v>
      </c>
      <c r="C228" s="228" t="s">
        <v>195</v>
      </c>
      <c r="D228" s="229" t="s">
        <v>2</v>
      </c>
      <c r="E228" s="230" t="s">
        <v>60</v>
      </c>
      <c r="F228" s="236">
        <v>1350000</v>
      </c>
      <c r="G228" s="237" t="s">
        <v>206</v>
      </c>
    </row>
    <row r="229" spans="1:8" ht="15" customHeight="1">
      <c r="A229" s="243">
        <v>250</v>
      </c>
      <c r="B229" s="251">
        <f t="shared" ref="B229:B233" si="28">B228</f>
        <v>42139</v>
      </c>
      <c r="C229" s="228" t="s">
        <v>195</v>
      </c>
      <c r="D229" s="229" t="s">
        <v>3</v>
      </c>
      <c r="E229" s="230" t="s">
        <v>79</v>
      </c>
      <c r="F229" s="236">
        <v>200000</v>
      </c>
      <c r="G229" s="237" t="s">
        <v>206</v>
      </c>
    </row>
    <row r="230" spans="1:8" ht="15" customHeight="1">
      <c r="A230" s="243">
        <v>305</v>
      </c>
      <c r="B230" s="251">
        <f t="shared" si="28"/>
        <v>42139</v>
      </c>
      <c r="C230" s="228" t="s">
        <v>195</v>
      </c>
      <c r="D230" s="229" t="s">
        <v>3</v>
      </c>
      <c r="E230" s="230" t="s">
        <v>76</v>
      </c>
      <c r="F230" s="236">
        <v>300000</v>
      </c>
      <c r="G230" s="237" t="s">
        <v>206</v>
      </c>
    </row>
    <row r="231" spans="1:8" ht="15" customHeight="1">
      <c r="A231" s="243">
        <v>360</v>
      </c>
      <c r="B231" s="251">
        <f t="shared" si="28"/>
        <v>42139</v>
      </c>
      <c r="C231" s="228" t="s">
        <v>195</v>
      </c>
      <c r="D231" s="229" t="s">
        <v>2</v>
      </c>
      <c r="E231" s="230" t="s">
        <v>174</v>
      </c>
      <c r="F231" s="236">
        <v>315000</v>
      </c>
      <c r="G231" s="237" t="s">
        <v>206</v>
      </c>
    </row>
    <row r="232" spans="1:8" ht="15" customHeight="1">
      <c r="A232" s="243">
        <v>415</v>
      </c>
      <c r="B232" s="251">
        <f t="shared" si="28"/>
        <v>42139</v>
      </c>
      <c r="C232" s="228" t="s">
        <v>195</v>
      </c>
      <c r="D232" s="229" t="s">
        <v>57</v>
      </c>
      <c r="E232" s="230" t="s">
        <v>187</v>
      </c>
      <c r="F232" s="236">
        <v>105000</v>
      </c>
      <c r="G232" s="237" t="s">
        <v>206</v>
      </c>
      <c r="H232" s="241"/>
    </row>
    <row r="233" spans="1:8" ht="15" customHeight="1">
      <c r="A233" s="243">
        <v>470</v>
      </c>
      <c r="B233" s="251">
        <f t="shared" si="28"/>
        <v>42139</v>
      </c>
      <c r="C233" s="228" t="s">
        <v>195</v>
      </c>
      <c r="D233" s="229" t="s">
        <v>57</v>
      </c>
      <c r="E233" s="230" t="s">
        <v>184</v>
      </c>
      <c r="F233" s="236">
        <v>75000</v>
      </c>
      <c r="G233" s="237" t="s">
        <v>206</v>
      </c>
      <c r="H233" s="241"/>
    </row>
    <row r="234" spans="1:8" ht="15.75">
      <c r="A234" s="243">
        <v>39</v>
      </c>
      <c r="B234" s="251">
        <f>B226+1</f>
        <v>42140</v>
      </c>
      <c r="C234" s="228" t="s">
        <v>195</v>
      </c>
      <c r="D234" s="229"/>
      <c r="E234" s="239" t="s">
        <v>207</v>
      </c>
      <c r="F234" s="236"/>
      <c r="G234" s="237" t="s">
        <v>208</v>
      </c>
    </row>
    <row r="235" spans="1:8" ht="15.75">
      <c r="A235" s="243">
        <v>40</v>
      </c>
      <c r="B235" s="251">
        <f>B234</f>
        <v>42140</v>
      </c>
      <c r="C235" s="228" t="s">
        <v>195</v>
      </c>
      <c r="D235" s="606" t="s">
        <v>2</v>
      </c>
      <c r="E235" s="244" t="s">
        <v>382</v>
      </c>
      <c r="F235" s="607">
        <v>369450</v>
      </c>
      <c r="G235" s="608" t="s">
        <v>208</v>
      </c>
    </row>
    <row r="236" spans="1:8" ht="15.75">
      <c r="A236" s="243">
        <v>41</v>
      </c>
      <c r="B236" s="251">
        <f t="shared" ref="B236:B241" si="29">B235</f>
        <v>42140</v>
      </c>
      <c r="C236" s="228" t="s">
        <v>195</v>
      </c>
      <c r="D236" s="606" t="s">
        <v>2</v>
      </c>
      <c r="E236" s="244" t="s">
        <v>170</v>
      </c>
      <c r="F236" s="607">
        <v>1170000</v>
      </c>
      <c r="G236" s="608" t="s">
        <v>208</v>
      </c>
    </row>
    <row r="237" spans="1:8" ht="15.75">
      <c r="A237" s="243"/>
      <c r="B237" s="251">
        <f t="shared" si="29"/>
        <v>42140</v>
      </c>
      <c r="C237" s="228" t="s">
        <v>195</v>
      </c>
      <c r="D237" s="606" t="s">
        <v>57</v>
      </c>
      <c r="E237" s="244" t="s">
        <v>79</v>
      </c>
      <c r="F237" s="607">
        <v>150000</v>
      </c>
      <c r="G237" s="608" t="s">
        <v>208</v>
      </c>
    </row>
    <row r="238" spans="1:8" ht="15.75">
      <c r="A238" s="243"/>
      <c r="B238" s="251">
        <f t="shared" si="29"/>
        <v>42140</v>
      </c>
      <c r="C238" s="228" t="s">
        <v>195</v>
      </c>
      <c r="D238" s="606" t="s">
        <v>57</v>
      </c>
      <c r="E238" s="244" t="s">
        <v>384</v>
      </c>
      <c r="F238" s="607">
        <v>35000</v>
      </c>
      <c r="G238" s="608" t="s">
        <v>208</v>
      </c>
    </row>
    <row r="239" spans="1:8" ht="15.75">
      <c r="A239" s="243">
        <v>42</v>
      </c>
      <c r="B239" s="251">
        <f>B236</f>
        <v>42140</v>
      </c>
      <c r="C239" s="228" t="s">
        <v>195</v>
      </c>
      <c r="D239" s="606" t="s">
        <v>3</v>
      </c>
      <c r="E239" s="244" t="s">
        <v>76</v>
      </c>
      <c r="F239" s="607">
        <v>300000</v>
      </c>
      <c r="G239" s="608" t="s">
        <v>208</v>
      </c>
    </row>
    <row r="240" spans="1:8" ht="15.75">
      <c r="A240" s="243">
        <v>43</v>
      </c>
      <c r="B240" s="251">
        <f t="shared" si="29"/>
        <v>42140</v>
      </c>
      <c r="C240" s="228" t="s">
        <v>195</v>
      </c>
      <c r="D240" s="606" t="s">
        <v>57</v>
      </c>
      <c r="E240" s="244" t="s">
        <v>186</v>
      </c>
      <c r="F240" s="607">
        <v>150000</v>
      </c>
      <c r="G240" s="608" t="s">
        <v>208</v>
      </c>
    </row>
    <row r="241" spans="1:8" ht="15.75">
      <c r="A241" s="243">
        <v>44</v>
      </c>
      <c r="B241" s="251">
        <f t="shared" si="29"/>
        <v>42140</v>
      </c>
      <c r="C241" s="228" t="s">
        <v>195</v>
      </c>
      <c r="D241" s="606" t="s">
        <v>57</v>
      </c>
      <c r="E241" s="244" t="s">
        <v>313</v>
      </c>
      <c r="F241" s="607">
        <v>200000</v>
      </c>
      <c r="G241" s="608" t="s">
        <v>208</v>
      </c>
    </row>
    <row r="242" spans="1:8" ht="15" customHeight="1">
      <c r="A242" s="243">
        <v>85</v>
      </c>
      <c r="B242" s="251">
        <f>B241</f>
        <v>42140</v>
      </c>
      <c r="C242" s="228" t="s">
        <v>195</v>
      </c>
      <c r="D242" s="229"/>
      <c r="E242" s="239" t="s">
        <v>205</v>
      </c>
      <c r="F242" s="236"/>
      <c r="G242" s="237" t="s">
        <v>206</v>
      </c>
    </row>
    <row r="243" spans="1:8" ht="15" customHeight="1">
      <c r="A243" s="243">
        <v>195</v>
      </c>
      <c r="B243" s="251">
        <f>B242</f>
        <v>42140</v>
      </c>
      <c r="C243" s="228" t="s">
        <v>195</v>
      </c>
      <c r="D243" s="229" t="s">
        <v>2</v>
      </c>
      <c r="E243" s="230" t="s">
        <v>60</v>
      </c>
      <c r="F243" s="236">
        <v>1350000</v>
      </c>
      <c r="G243" s="237" t="s">
        <v>206</v>
      </c>
    </row>
    <row r="244" spans="1:8" ht="15" customHeight="1">
      <c r="A244" s="243">
        <v>250</v>
      </c>
      <c r="B244" s="251">
        <f t="shared" ref="B244:B248" si="30">B243</f>
        <v>42140</v>
      </c>
      <c r="C244" s="228" t="s">
        <v>195</v>
      </c>
      <c r="D244" s="229" t="s">
        <v>3</v>
      </c>
      <c r="E244" s="230" t="s">
        <v>79</v>
      </c>
      <c r="F244" s="236">
        <v>200000</v>
      </c>
      <c r="G244" s="237" t="s">
        <v>206</v>
      </c>
    </row>
    <row r="245" spans="1:8" ht="15" customHeight="1">
      <c r="A245" s="243">
        <v>305</v>
      </c>
      <c r="B245" s="251">
        <f t="shared" si="30"/>
        <v>42140</v>
      </c>
      <c r="C245" s="228" t="s">
        <v>195</v>
      </c>
      <c r="D245" s="229" t="s">
        <v>3</v>
      </c>
      <c r="E245" s="230" t="s">
        <v>76</v>
      </c>
      <c r="F245" s="236">
        <v>300000</v>
      </c>
      <c r="G245" s="237" t="s">
        <v>206</v>
      </c>
    </row>
    <row r="246" spans="1:8" ht="15" customHeight="1">
      <c r="A246" s="243">
        <v>360</v>
      </c>
      <c r="B246" s="251">
        <f t="shared" si="30"/>
        <v>42140</v>
      </c>
      <c r="C246" s="228" t="s">
        <v>195</v>
      </c>
      <c r="D246" s="229" t="s">
        <v>2</v>
      </c>
      <c r="E246" s="230" t="s">
        <v>174</v>
      </c>
      <c r="F246" s="236">
        <v>315000</v>
      </c>
      <c r="G246" s="237" t="s">
        <v>206</v>
      </c>
    </row>
    <row r="247" spans="1:8" ht="15" customHeight="1">
      <c r="A247" s="243">
        <v>415</v>
      </c>
      <c r="B247" s="251">
        <f t="shared" si="30"/>
        <v>42140</v>
      </c>
      <c r="C247" s="228" t="s">
        <v>195</v>
      </c>
      <c r="D247" s="229" t="s">
        <v>57</v>
      </c>
      <c r="E247" s="230" t="s">
        <v>187</v>
      </c>
      <c r="F247" s="236">
        <v>105000</v>
      </c>
      <c r="G247" s="237" t="s">
        <v>206</v>
      </c>
      <c r="H247" s="241"/>
    </row>
    <row r="248" spans="1:8" ht="15" customHeight="1">
      <c r="A248" s="243">
        <v>470</v>
      </c>
      <c r="B248" s="251">
        <f t="shared" si="30"/>
        <v>42140</v>
      </c>
      <c r="C248" s="228" t="s">
        <v>195</v>
      </c>
      <c r="D248" s="229" t="s">
        <v>57</v>
      </c>
      <c r="E248" s="230" t="s">
        <v>184</v>
      </c>
      <c r="F248" s="236">
        <v>75000</v>
      </c>
      <c r="G248" s="237" t="s">
        <v>206</v>
      </c>
      <c r="H248" s="241"/>
    </row>
    <row r="249" spans="1:8" ht="15.75">
      <c r="A249" s="243">
        <v>47</v>
      </c>
      <c r="B249" s="251">
        <f>B241+1</f>
        <v>42141</v>
      </c>
      <c r="C249" s="228" t="s">
        <v>195</v>
      </c>
      <c r="D249" s="229"/>
      <c r="E249" s="239" t="s">
        <v>207</v>
      </c>
      <c r="F249" s="236"/>
      <c r="G249" s="237" t="s">
        <v>208</v>
      </c>
    </row>
    <row r="250" spans="1:8" ht="15.75">
      <c r="A250" s="243">
        <v>48</v>
      </c>
      <c r="B250" s="251">
        <f t="shared" ref="B250:B256" si="31">B249</f>
        <v>42141</v>
      </c>
      <c r="C250" s="228" t="s">
        <v>195</v>
      </c>
      <c r="D250" s="606" t="s">
        <v>2</v>
      </c>
      <c r="E250" s="244" t="s">
        <v>382</v>
      </c>
      <c r="F250" s="607">
        <v>369450</v>
      </c>
      <c r="G250" s="608" t="s">
        <v>208</v>
      </c>
    </row>
    <row r="251" spans="1:8" ht="15.75">
      <c r="A251" s="243">
        <v>49</v>
      </c>
      <c r="B251" s="251">
        <f t="shared" si="31"/>
        <v>42141</v>
      </c>
      <c r="C251" s="228" t="s">
        <v>195</v>
      </c>
      <c r="D251" s="606" t="s">
        <v>2</v>
      </c>
      <c r="E251" s="244" t="s">
        <v>170</v>
      </c>
      <c r="F251" s="607">
        <v>1170000</v>
      </c>
      <c r="G251" s="608" t="s">
        <v>208</v>
      </c>
      <c r="H251" s="241"/>
    </row>
    <row r="252" spans="1:8" ht="15.75">
      <c r="A252" s="243">
        <v>50</v>
      </c>
      <c r="B252" s="251">
        <f t="shared" si="31"/>
        <v>42141</v>
      </c>
      <c r="C252" s="228" t="s">
        <v>195</v>
      </c>
      <c r="D252" s="606" t="s">
        <v>57</v>
      </c>
      <c r="E252" s="244" t="s">
        <v>79</v>
      </c>
      <c r="F252" s="607">
        <v>150000</v>
      </c>
      <c r="G252" s="608" t="s">
        <v>208</v>
      </c>
      <c r="H252" s="241"/>
    </row>
    <row r="253" spans="1:8" ht="15.75">
      <c r="A253" s="243"/>
      <c r="B253" s="251">
        <f t="shared" si="31"/>
        <v>42141</v>
      </c>
      <c r="C253" s="228" t="s">
        <v>195</v>
      </c>
      <c r="D253" s="606" t="s">
        <v>57</v>
      </c>
      <c r="E253" s="244" t="s">
        <v>384</v>
      </c>
      <c r="F253" s="607">
        <v>35000</v>
      </c>
      <c r="G253" s="608" t="s">
        <v>208</v>
      </c>
    </row>
    <row r="254" spans="1:8" ht="15.75">
      <c r="A254" s="243"/>
      <c r="B254" s="251">
        <f t="shared" si="31"/>
        <v>42141</v>
      </c>
      <c r="C254" s="228" t="s">
        <v>195</v>
      </c>
      <c r="D254" s="606" t="s">
        <v>3</v>
      </c>
      <c r="E254" s="244" t="s">
        <v>76</v>
      </c>
      <c r="F254" s="607">
        <v>300000</v>
      </c>
      <c r="G254" s="608" t="s">
        <v>208</v>
      </c>
    </row>
    <row r="255" spans="1:8" ht="15.75">
      <c r="A255" s="243">
        <v>51</v>
      </c>
      <c r="B255" s="251">
        <f>B252</f>
        <v>42141</v>
      </c>
      <c r="C255" s="228" t="s">
        <v>195</v>
      </c>
      <c r="D255" s="606" t="s">
        <v>57</v>
      </c>
      <c r="E255" s="244" t="s">
        <v>186</v>
      </c>
      <c r="F255" s="607">
        <v>150000</v>
      </c>
      <c r="G255" s="608" t="s">
        <v>208</v>
      </c>
    </row>
    <row r="256" spans="1:8" ht="15.75">
      <c r="A256" s="243">
        <v>52</v>
      </c>
      <c r="B256" s="251">
        <f t="shared" si="31"/>
        <v>42141</v>
      </c>
      <c r="C256" s="228" t="s">
        <v>195</v>
      </c>
      <c r="D256" s="606" t="s">
        <v>57</v>
      </c>
      <c r="E256" s="244" t="s">
        <v>313</v>
      </c>
      <c r="F256" s="607">
        <v>200000</v>
      </c>
      <c r="G256" s="608" t="s">
        <v>208</v>
      </c>
    </row>
    <row r="257" spans="1:8" ht="15" customHeight="1">
      <c r="A257" s="243">
        <v>85</v>
      </c>
      <c r="B257" s="251">
        <f>B256</f>
        <v>42141</v>
      </c>
      <c r="C257" s="228" t="s">
        <v>195</v>
      </c>
      <c r="D257" s="229"/>
      <c r="E257" s="239" t="s">
        <v>205</v>
      </c>
      <c r="F257" s="236"/>
      <c r="G257" s="237" t="s">
        <v>206</v>
      </c>
    </row>
    <row r="258" spans="1:8" ht="15" customHeight="1">
      <c r="A258" s="243">
        <v>195</v>
      </c>
      <c r="B258" s="251">
        <f>B257</f>
        <v>42141</v>
      </c>
      <c r="C258" s="228" t="s">
        <v>195</v>
      </c>
      <c r="D258" s="229" t="s">
        <v>2</v>
      </c>
      <c r="E258" s="230" t="s">
        <v>60</v>
      </c>
      <c r="F258" s="236">
        <v>1350000</v>
      </c>
      <c r="G258" s="237" t="s">
        <v>206</v>
      </c>
    </row>
    <row r="259" spans="1:8" ht="15" customHeight="1">
      <c r="A259" s="243">
        <v>250</v>
      </c>
      <c r="B259" s="251">
        <f t="shared" ref="B259:B263" si="32">B258</f>
        <v>42141</v>
      </c>
      <c r="C259" s="228" t="s">
        <v>195</v>
      </c>
      <c r="D259" s="229" t="s">
        <v>3</v>
      </c>
      <c r="E259" s="230" t="s">
        <v>79</v>
      </c>
      <c r="F259" s="236">
        <v>200000</v>
      </c>
      <c r="G259" s="237" t="s">
        <v>206</v>
      </c>
    </row>
    <row r="260" spans="1:8" ht="15" customHeight="1">
      <c r="A260" s="243">
        <v>305</v>
      </c>
      <c r="B260" s="251">
        <f t="shared" si="32"/>
        <v>42141</v>
      </c>
      <c r="C260" s="228" t="s">
        <v>195</v>
      </c>
      <c r="D260" s="229" t="s">
        <v>3</v>
      </c>
      <c r="E260" s="230" t="s">
        <v>76</v>
      </c>
      <c r="F260" s="236">
        <v>300000</v>
      </c>
      <c r="G260" s="237" t="s">
        <v>206</v>
      </c>
    </row>
    <row r="261" spans="1:8" ht="15" customHeight="1">
      <c r="A261" s="243">
        <v>360</v>
      </c>
      <c r="B261" s="251">
        <f t="shared" si="32"/>
        <v>42141</v>
      </c>
      <c r="C261" s="228" t="s">
        <v>195</v>
      </c>
      <c r="D261" s="229" t="s">
        <v>2</v>
      </c>
      <c r="E261" s="230" t="s">
        <v>174</v>
      </c>
      <c r="F261" s="236">
        <v>315000</v>
      </c>
      <c r="G261" s="237" t="s">
        <v>206</v>
      </c>
    </row>
    <row r="262" spans="1:8" ht="15" customHeight="1">
      <c r="A262" s="243">
        <v>415</v>
      </c>
      <c r="B262" s="251">
        <f t="shared" si="32"/>
        <v>42141</v>
      </c>
      <c r="C262" s="228" t="s">
        <v>195</v>
      </c>
      <c r="D262" s="229" t="s">
        <v>57</v>
      </c>
      <c r="E262" s="230" t="s">
        <v>187</v>
      </c>
      <c r="F262" s="236">
        <v>105000</v>
      </c>
      <c r="G262" s="237" t="s">
        <v>206</v>
      </c>
      <c r="H262" s="241"/>
    </row>
    <row r="263" spans="1:8" ht="15" customHeight="1">
      <c r="A263" s="243">
        <v>470</v>
      </c>
      <c r="B263" s="251">
        <f t="shared" si="32"/>
        <v>42141</v>
      </c>
      <c r="C263" s="228" t="s">
        <v>195</v>
      </c>
      <c r="D263" s="229" t="s">
        <v>57</v>
      </c>
      <c r="E263" s="230" t="s">
        <v>184</v>
      </c>
      <c r="F263" s="236">
        <v>75000</v>
      </c>
      <c r="G263" s="237" t="s">
        <v>206</v>
      </c>
      <c r="H263" s="241"/>
    </row>
    <row r="264" spans="1:8" ht="15.75">
      <c r="A264" s="243">
        <v>55</v>
      </c>
      <c r="B264" s="251">
        <f>B256+1</f>
        <v>42142</v>
      </c>
      <c r="C264" s="228" t="s">
        <v>195</v>
      </c>
      <c r="D264" s="229"/>
      <c r="E264" s="239" t="s">
        <v>207</v>
      </c>
      <c r="F264" s="236"/>
      <c r="G264" s="237" t="s">
        <v>208</v>
      </c>
    </row>
    <row r="265" spans="1:8" ht="15.75">
      <c r="A265" s="243">
        <v>56</v>
      </c>
      <c r="B265" s="251">
        <f t="shared" ref="B265:B271" si="33">B264</f>
        <v>42142</v>
      </c>
      <c r="C265" s="228" t="s">
        <v>195</v>
      </c>
      <c r="D265" s="606" t="s">
        <v>2</v>
      </c>
      <c r="E265" s="244" t="s">
        <v>382</v>
      </c>
      <c r="F265" s="607">
        <v>369450</v>
      </c>
      <c r="G265" s="608" t="s">
        <v>208</v>
      </c>
    </row>
    <row r="266" spans="1:8" ht="15.75">
      <c r="A266" s="243">
        <v>57</v>
      </c>
      <c r="B266" s="251">
        <f t="shared" si="33"/>
        <v>42142</v>
      </c>
      <c r="C266" s="228" t="s">
        <v>195</v>
      </c>
      <c r="D266" s="606" t="s">
        <v>2</v>
      </c>
      <c r="E266" s="244" t="s">
        <v>170</v>
      </c>
      <c r="F266" s="607">
        <v>1170000</v>
      </c>
      <c r="G266" s="608" t="s">
        <v>208</v>
      </c>
    </row>
    <row r="267" spans="1:8" ht="15.75">
      <c r="A267" s="243">
        <v>58</v>
      </c>
      <c r="B267" s="251">
        <f t="shared" si="33"/>
        <v>42142</v>
      </c>
      <c r="C267" s="228" t="s">
        <v>195</v>
      </c>
      <c r="D267" s="606" t="s">
        <v>57</v>
      </c>
      <c r="E267" s="244" t="s">
        <v>79</v>
      </c>
      <c r="F267" s="607">
        <v>150000</v>
      </c>
      <c r="G267" s="608" t="s">
        <v>208</v>
      </c>
    </row>
    <row r="268" spans="1:8" ht="15.75">
      <c r="A268" s="243"/>
      <c r="B268" s="251">
        <f t="shared" si="33"/>
        <v>42142</v>
      </c>
      <c r="C268" s="228" t="s">
        <v>195</v>
      </c>
      <c r="D268" s="606" t="s">
        <v>57</v>
      </c>
      <c r="E268" s="244" t="s">
        <v>384</v>
      </c>
      <c r="F268" s="607">
        <v>35000</v>
      </c>
      <c r="G268" s="608" t="s">
        <v>208</v>
      </c>
    </row>
    <row r="269" spans="1:8" ht="15.75">
      <c r="A269" s="243"/>
      <c r="B269" s="251">
        <f t="shared" si="33"/>
        <v>42142</v>
      </c>
      <c r="C269" s="228" t="s">
        <v>195</v>
      </c>
      <c r="D269" s="606" t="s">
        <v>3</v>
      </c>
      <c r="E269" s="244" t="s">
        <v>76</v>
      </c>
      <c r="F269" s="607">
        <v>300000</v>
      </c>
      <c r="G269" s="608" t="s">
        <v>208</v>
      </c>
    </row>
    <row r="270" spans="1:8" ht="15.75">
      <c r="A270" s="243">
        <v>59</v>
      </c>
      <c r="B270" s="251">
        <f>B267</f>
        <v>42142</v>
      </c>
      <c r="C270" s="228" t="s">
        <v>195</v>
      </c>
      <c r="D270" s="606" t="s">
        <v>57</v>
      </c>
      <c r="E270" s="244" t="s">
        <v>186</v>
      </c>
      <c r="F270" s="607">
        <v>150000</v>
      </c>
      <c r="G270" s="608" t="s">
        <v>208</v>
      </c>
    </row>
    <row r="271" spans="1:8" ht="15.75">
      <c r="A271" s="243">
        <v>60</v>
      </c>
      <c r="B271" s="251">
        <f t="shared" si="33"/>
        <v>42142</v>
      </c>
      <c r="C271" s="228" t="s">
        <v>195</v>
      </c>
      <c r="D271" s="606" t="s">
        <v>57</v>
      </c>
      <c r="E271" s="244" t="s">
        <v>313</v>
      </c>
      <c r="F271" s="607">
        <v>200000</v>
      </c>
      <c r="G271" s="608" t="s">
        <v>208</v>
      </c>
    </row>
    <row r="272" spans="1:8" ht="15" customHeight="1">
      <c r="A272" s="243">
        <v>85</v>
      </c>
      <c r="B272" s="251">
        <f>B271</f>
        <v>42142</v>
      </c>
      <c r="C272" s="228" t="s">
        <v>195</v>
      </c>
      <c r="D272" s="229"/>
      <c r="E272" s="239" t="s">
        <v>205</v>
      </c>
      <c r="F272" s="236"/>
      <c r="G272" s="237" t="s">
        <v>206</v>
      </c>
    </row>
    <row r="273" spans="1:8" ht="15" customHeight="1">
      <c r="A273" s="243">
        <v>195</v>
      </c>
      <c r="B273" s="251">
        <f>B272</f>
        <v>42142</v>
      </c>
      <c r="C273" s="228" t="s">
        <v>195</v>
      </c>
      <c r="D273" s="229" t="s">
        <v>2</v>
      </c>
      <c r="E273" s="230" t="s">
        <v>60</v>
      </c>
      <c r="F273" s="236">
        <v>1350000</v>
      </c>
      <c r="G273" s="237" t="s">
        <v>206</v>
      </c>
    </row>
    <row r="274" spans="1:8" ht="15" customHeight="1">
      <c r="A274" s="243">
        <v>250</v>
      </c>
      <c r="B274" s="251">
        <f t="shared" ref="B274:B278" si="34">B273</f>
        <v>42142</v>
      </c>
      <c r="C274" s="228" t="s">
        <v>195</v>
      </c>
      <c r="D274" s="229" t="s">
        <v>3</v>
      </c>
      <c r="E274" s="230" t="s">
        <v>79</v>
      </c>
      <c r="F274" s="236">
        <v>200000</v>
      </c>
      <c r="G274" s="237" t="s">
        <v>206</v>
      </c>
    </row>
    <row r="275" spans="1:8" ht="15" customHeight="1">
      <c r="A275" s="243">
        <v>305</v>
      </c>
      <c r="B275" s="251">
        <f t="shared" si="34"/>
        <v>42142</v>
      </c>
      <c r="C275" s="228" t="s">
        <v>195</v>
      </c>
      <c r="D275" s="229" t="s">
        <v>3</v>
      </c>
      <c r="E275" s="230" t="s">
        <v>76</v>
      </c>
      <c r="F275" s="236">
        <v>300000</v>
      </c>
      <c r="G275" s="237" t="s">
        <v>206</v>
      </c>
    </row>
    <row r="276" spans="1:8" ht="15" customHeight="1">
      <c r="A276" s="243">
        <v>360</v>
      </c>
      <c r="B276" s="251">
        <f t="shared" si="34"/>
        <v>42142</v>
      </c>
      <c r="C276" s="228" t="s">
        <v>195</v>
      </c>
      <c r="D276" s="229" t="s">
        <v>2</v>
      </c>
      <c r="E276" s="230" t="s">
        <v>174</v>
      </c>
      <c r="F276" s="236">
        <v>315000</v>
      </c>
      <c r="G276" s="237" t="s">
        <v>206</v>
      </c>
    </row>
    <row r="277" spans="1:8" ht="15" customHeight="1">
      <c r="A277" s="243">
        <v>415</v>
      </c>
      <c r="B277" s="251">
        <f t="shared" si="34"/>
        <v>42142</v>
      </c>
      <c r="C277" s="228" t="s">
        <v>195</v>
      </c>
      <c r="D277" s="229" t="s">
        <v>57</v>
      </c>
      <c r="E277" s="230" t="s">
        <v>187</v>
      </c>
      <c r="F277" s="236">
        <v>105000</v>
      </c>
      <c r="G277" s="237" t="s">
        <v>206</v>
      </c>
      <c r="H277" s="241"/>
    </row>
    <row r="278" spans="1:8" ht="15" customHeight="1">
      <c r="A278" s="243">
        <v>470</v>
      </c>
      <c r="B278" s="251">
        <f t="shared" si="34"/>
        <v>42142</v>
      </c>
      <c r="C278" s="228" t="s">
        <v>195</v>
      </c>
      <c r="D278" s="229" t="s">
        <v>57</v>
      </c>
      <c r="E278" s="230" t="s">
        <v>184</v>
      </c>
      <c r="F278" s="236">
        <v>75000</v>
      </c>
      <c r="G278" s="237" t="s">
        <v>206</v>
      </c>
      <c r="H278" s="241"/>
    </row>
    <row r="279" spans="1:8" ht="15.75">
      <c r="A279" s="243">
        <v>63</v>
      </c>
      <c r="B279" s="251">
        <f>B271+1</f>
        <v>42143</v>
      </c>
      <c r="C279" s="228" t="s">
        <v>195</v>
      </c>
      <c r="D279" s="229"/>
      <c r="E279" s="239" t="s">
        <v>207</v>
      </c>
      <c r="F279" s="236"/>
      <c r="G279" s="237" t="s">
        <v>208</v>
      </c>
      <c r="H279" s="241"/>
    </row>
    <row r="280" spans="1:8" ht="15.75">
      <c r="A280" s="243">
        <v>64</v>
      </c>
      <c r="B280" s="251">
        <f t="shared" ref="B280:B286" si="35">B279</f>
        <v>42143</v>
      </c>
      <c r="C280" s="228" t="s">
        <v>195</v>
      </c>
      <c r="D280" s="606" t="s">
        <v>2</v>
      </c>
      <c r="E280" s="244" t="s">
        <v>382</v>
      </c>
      <c r="F280" s="607">
        <v>369450</v>
      </c>
      <c r="G280" s="608" t="s">
        <v>208</v>
      </c>
      <c r="H280" s="241"/>
    </row>
    <row r="281" spans="1:8" ht="15.75">
      <c r="A281" s="243">
        <v>65</v>
      </c>
      <c r="B281" s="251">
        <f t="shared" si="35"/>
        <v>42143</v>
      </c>
      <c r="C281" s="228" t="s">
        <v>195</v>
      </c>
      <c r="D281" s="606" t="s">
        <v>2</v>
      </c>
      <c r="E281" s="244" t="s">
        <v>170</v>
      </c>
      <c r="F281" s="607">
        <v>1170000</v>
      </c>
      <c r="G281" s="608" t="s">
        <v>208</v>
      </c>
    </row>
    <row r="282" spans="1:8" ht="15.75">
      <c r="A282" s="243">
        <v>66</v>
      </c>
      <c r="B282" s="251">
        <f t="shared" si="35"/>
        <v>42143</v>
      </c>
      <c r="C282" s="228" t="s">
        <v>195</v>
      </c>
      <c r="D282" s="606" t="s">
        <v>57</v>
      </c>
      <c r="E282" s="244" t="s">
        <v>79</v>
      </c>
      <c r="F282" s="607">
        <v>150000</v>
      </c>
      <c r="G282" s="608" t="s">
        <v>208</v>
      </c>
    </row>
    <row r="283" spans="1:8" ht="15.75">
      <c r="A283" s="243"/>
      <c r="B283" s="251">
        <f t="shared" si="35"/>
        <v>42143</v>
      </c>
      <c r="C283" s="228" t="s">
        <v>195</v>
      </c>
      <c r="D283" s="606" t="s">
        <v>57</v>
      </c>
      <c r="E283" s="244" t="s">
        <v>384</v>
      </c>
      <c r="F283" s="607">
        <v>35000</v>
      </c>
      <c r="G283" s="608" t="s">
        <v>208</v>
      </c>
    </row>
    <row r="284" spans="1:8" ht="15.75">
      <c r="A284" s="243"/>
      <c r="B284" s="251">
        <f t="shared" si="35"/>
        <v>42143</v>
      </c>
      <c r="C284" s="228" t="s">
        <v>195</v>
      </c>
      <c r="D284" s="606" t="s">
        <v>3</v>
      </c>
      <c r="E284" s="244" t="s">
        <v>76</v>
      </c>
      <c r="F284" s="607">
        <v>300000</v>
      </c>
      <c r="G284" s="608" t="s">
        <v>208</v>
      </c>
    </row>
    <row r="285" spans="1:8" ht="15.75">
      <c r="A285" s="243">
        <v>67</v>
      </c>
      <c r="B285" s="251">
        <f t="shared" si="35"/>
        <v>42143</v>
      </c>
      <c r="C285" s="228" t="s">
        <v>195</v>
      </c>
      <c r="D285" s="606" t="s">
        <v>57</v>
      </c>
      <c r="E285" s="244" t="s">
        <v>186</v>
      </c>
      <c r="F285" s="607">
        <v>150000</v>
      </c>
      <c r="G285" s="608" t="s">
        <v>208</v>
      </c>
    </row>
    <row r="286" spans="1:8" ht="15.75">
      <c r="A286" s="243">
        <v>68</v>
      </c>
      <c r="B286" s="251">
        <f t="shared" si="35"/>
        <v>42143</v>
      </c>
      <c r="C286" s="228" t="s">
        <v>195</v>
      </c>
      <c r="D286" s="606" t="s">
        <v>57</v>
      </c>
      <c r="E286" s="244" t="s">
        <v>313</v>
      </c>
      <c r="F286" s="607">
        <v>200000</v>
      </c>
      <c r="G286" s="608" t="s">
        <v>208</v>
      </c>
    </row>
    <row r="287" spans="1:8" ht="15" customHeight="1">
      <c r="A287" s="243">
        <v>85</v>
      </c>
      <c r="B287" s="251">
        <f>B286</f>
        <v>42143</v>
      </c>
      <c r="C287" s="228" t="s">
        <v>195</v>
      </c>
      <c r="D287" s="229"/>
      <c r="E287" s="239" t="s">
        <v>205</v>
      </c>
      <c r="F287" s="236"/>
      <c r="G287" s="237" t="s">
        <v>206</v>
      </c>
    </row>
    <row r="288" spans="1:8" ht="15" customHeight="1">
      <c r="A288" s="243">
        <v>195</v>
      </c>
      <c r="B288" s="251">
        <f>B287</f>
        <v>42143</v>
      </c>
      <c r="C288" s="228" t="s">
        <v>195</v>
      </c>
      <c r="D288" s="229" t="s">
        <v>2</v>
      </c>
      <c r="E288" s="230" t="s">
        <v>60</v>
      </c>
      <c r="F288" s="236">
        <v>1350000</v>
      </c>
      <c r="G288" s="237" t="s">
        <v>206</v>
      </c>
    </row>
    <row r="289" spans="1:8" ht="15" customHeight="1">
      <c r="A289" s="243">
        <v>250</v>
      </c>
      <c r="B289" s="251">
        <f t="shared" ref="B289:B293" si="36">B288</f>
        <v>42143</v>
      </c>
      <c r="C289" s="228" t="s">
        <v>195</v>
      </c>
      <c r="D289" s="229" t="s">
        <v>3</v>
      </c>
      <c r="E289" s="230" t="s">
        <v>79</v>
      </c>
      <c r="F289" s="236">
        <v>200000</v>
      </c>
      <c r="G289" s="237" t="s">
        <v>206</v>
      </c>
    </row>
    <row r="290" spans="1:8" ht="15" customHeight="1">
      <c r="A290" s="243">
        <v>305</v>
      </c>
      <c r="B290" s="251">
        <f t="shared" si="36"/>
        <v>42143</v>
      </c>
      <c r="C290" s="228" t="s">
        <v>195</v>
      </c>
      <c r="D290" s="229" t="s">
        <v>3</v>
      </c>
      <c r="E290" s="230" t="s">
        <v>76</v>
      </c>
      <c r="F290" s="236">
        <v>300000</v>
      </c>
      <c r="G290" s="237" t="s">
        <v>206</v>
      </c>
    </row>
    <row r="291" spans="1:8" ht="15" customHeight="1">
      <c r="A291" s="243">
        <v>360</v>
      </c>
      <c r="B291" s="251">
        <f t="shared" si="36"/>
        <v>42143</v>
      </c>
      <c r="C291" s="228" t="s">
        <v>195</v>
      </c>
      <c r="D291" s="229" t="s">
        <v>2</v>
      </c>
      <c r="E291" s="230" t="s">
        <v>174</v>
      </c>
      <c r="F291" s="236">
        <v>315000</v>
      </c>
      <c r="G291" s="237" t="s">
        <v>206</v>
      </c>
    </row>
    <row r="292" spans="1:8" ht="15" customHeight="1">
      <c r="A292" s="243">
        <v>415</v>
      </c>
      <c r="B292" s="251">
        <f t="shared" si="36"/>
        <v>42143</v>
      </c>
      <c r="C292" s="228" t="s">
        <v>195</v>
      </c>
      <c r="D292" s="229" t="s">
        <v>57</v>
      </c>
      <c r="E292" s="230" t="s">
        <v>187</v>
      </c>
      <c r="F292" s="236">
        <v>105000</v>
      </c>
      <c r="G292" s="237" t="s">
        <v>206</v>
      </c>
      <c r="H292" s="241"/>
    </row>
    <row r="293" spans="1:8" ht="15" customHeight="1">
      <c r="A293" s="243">
        <v>470</v>
      </c>
      <c r="B293" s="251">
        <f t="shared" si="36"/>
        <v>42143</v>
      </c>
      <c r="C293" s="228" t="s">
        <v>195</v>
      </c>
      <c r="D293" s="229" t="s">
        <v>57</v>
      </c>
      <c r="E293" s="230" t="s">
        <v>184</v>
      </c>
      <c r="F293" s="236">
        <v>75000</v>
      </c>
      <c r="G293" s="237" t="s">
        <v>206</v>
      </c>
      <c r="H293" s="241"/>
    </row>
    <row r="294" spans="1:8" ht="15" customHeight="1">
      <c r="A294" s="243"/>
      <c r="B294" s="251">
        <f>B293</f>
        <v>42143</v>
      </c>
      <c r="C294" s="228" t="str">
        <f>C293</f>
        <v>P-5E</v>
      </c>
      <c r="D294" s="229" t="s">
        <v>5</v>
      </c>
      <c r="E294" s="230" t="str">
        <f>Budget!B16</f>
        <v>Mobilisasi Buldozer 1 unit dari Medan (Rental)</v>
      </c>
      <c r="F294" s="236">
        <f>Budget!G16</f>
        <v>2000000</v>
      </c>
      <c r="G294" s="237" t="s">
        <v>5</v>
      </c>
      <c r="H294" s="241"/>
    </row>
    <row r="295" spans="1:8" ht="15.75">
      <c r="A295" s="243">
        <v>71</v>
      </c>
      <c r="B295" s="251">
        <f>B293+1</f>
        <v>42144</v>
      </c>
      <c r="C295" s="228" t="s">
        <v>195</v>
      </c>
      <c r="D295" s="229"/>
      <c r="E295" s="239" t="s">
        <v>205</v>
      </c>
      <c r="F295" s="236"/>
      <c r="G295" s="237" t="s">
        <v>206</v>
      </c>
    </row>
    <row r="296" spans="1:8" ht="15.75">
      <c r="A296" s="243">
        <v>72</v>
      </c>
      <c r="B296" s="251">
        <f>B295</f>
        <v>42144</v>
      </c>
      <c r="C296" s="228" t="s">
        <v>195</v>
      </c>
      <c r="D296" s="229" t="s">
        <v>2</v>
      </c>
      <c r="E296" s="230" t="s">
        <v>60</v>
      </c>
      <c r="F296" s="236">
        <v>1350000</v>
      </c>
      <c r="G296" s="237" t="s">
        <v>206</v>
      </c>
    </row>
    <row r="297" spans="1:8" ht="15.75">
      <c r="A297" s="243">
        <v>73</v>
      </c>
      <c r="B297" s="251">
        <f t="shared" ref="B297:B310" si="37">B296</f>
        <v>42144</v>
      </c>
      <c r="C297" s="228" t="s">
        <v>195</v>
      </c>
      <c r="D297" s="229" t="s">
        <v>3</v>
      </c>
      <c r="E297" s="230" t="s">
        <v>79</v>
      </c>
      <c r="F297" s="236">
        <v>200000</v>
      </c>
      <c r="G297" s="237" t="s">
        <v>206</v>
      </c>
    </row>
    <row r="298" spans="1:8" ht="15.75">
      <c r="A298" s="243">
        <v>74</v>
      </c>
      <c r="B298" s="251">
        <f t="shared" si="37"/>
        <v>42144</v>
      </c>
      <c r="C298" s="228" t="s">
        <v>195</v>
      </c>
      <c r="D298" s="229" t="s">
        <v>3</v>
      </c>
      <c r="E298" s="230" t="s">
        <v>76</v>
      </c>
      <c r="F298" s="236">
        <v>300000</v>
      </c>
      <c r="G298" s="237" t="s">
        <v>206</v>
      </c>
    </row>
    <row r="299" spans="1:8" ht="15.75">
      <c r="A299" s="243">
        <v>75</v>
      </c>
      <c r="B299" s="251">
        <f t="shared" si="37"/>
        <v>42144</v>
      </c>
      <c r="C299" s="228" t="s">
        <v>195</v>
      </c>
      <c r="D299" s="229" t="s">
        <v>2</v>
      </c>
      <c r="E299" s="230" t="s">
        <v>174</v>
      </c>
      <c r="F299" s="236">
        <v>315000</v>
      </c>
      <c r="G299" s="237" t="s">
        <v>206</v>
      </c>
    </row>
    <row r="300" spans="1:8" ht="25.5">
      <c r="A300" s="243">
        <v>76</v>
      </c>
      <c r="B300" s="251">
        <f t="shared" si="37"/>
        <v>42144</v>
      </c>
      <c r="C300" s="228" t="s">
        <v>195</v>
      </c>
      <c r="D300" s="229" t="s">
        <v>57</v>
      </c>
      <c r="E300" s="230" t="s">
        <v>187</v>
      </c>
      <c r="F300" s="236">
        <v>105000</v>
      </c>
      <c r="G300" s="237" t="s">
        <v>206</v>
      </c>
    </row>
    <row r="301" spans="1:8" ht="15.75">
      <c r="A301" s="243">
        <v>77</v>
      </c>
      <c r="B301" s="251">
        <f t="shared" si="37"/>
        <v>42144</v>
      </c>
      <c r="C301" s="228" t="s">
        <v>195</v>
      </c>
      <c r="D301" s="229" t="s">
        <v>57</v>
      </c>
      <c r="E301" s="230" t="s">
        <v>184</v>
      </c>
      <c r="F301" s="236">
        <v>75000</v>
      </c>
      <c r="G301" s="237" t="s">
        <v>206</v>
      </c>
      <c r="H301" s="241"/>
    </row>
    <row r="302" spans="1:8" ht="15" customHeight="1">
      <c r="A302" s="243">
        <v>114</v>
      </c>
      <c r="B302" s="251">
        <f t="shared" si="37"/>
        <v>42144</v>
      </c>
      <c r="C302" s="228" t="s">
        <v>195</v>
      </c>
      <c r="D302" s="229"/>
      <c r="E302" s="239" t="s">
        <v>17</v>
      </c>
      <c r="F302" s="236"/>
      <c r="G302" s="237" t="s">
        <v>209</v>
      </c>
    </row>
    <row r="303" spans="1:8" ht="15" customHeight="1">
      <c r="A303" s="243">
        <v>115</v>
      </c>
      <c r="B303" s="251">
        <f t="shared" si="37"/>
        <v>42144</v>
      </c>
      <c r="C303" s="228" t="s">
        <v>195</v>
      </c>
      <c r="D303" s="229" t="s">
        <v>42</v>
      </c>
      <c r="E303" s="230" t="s">
        <v>364</v>
      </c>
      <c r="F303" s="236">
        <f>Budget!G111/46</f>
        <v>10568660.869565219</v>
      </c>
      <c r="G303" s="237" t="s">
        <v>209</v>
      </c>
      <c r="H303" s="241"/>
    </row>
    <row r="304" spans="1:8" ht="15" customHeight="1">
      <c r="A304" s="243">
        <v>116</v>
      </c>
      <c r="B304" s="251">
        <f t="shared" si="37"/>
        <v>42144</v>
      </c>
      <c r="C304" s="228" t="s">
        <v>195</v>
      </c>
      <c r="D304" s="229" t="s">
        <v>2</v>
      </c>
      <c r="E304" s="230" t="s">
        <v>170</v>
      </c>
      <c r="F304" s="236">
        <f>Budget!G112/46</f>
        <v>1170000</v>
      </c>
      <c r="G304" s="237" t="s">
        <v>209</v>
      </c>
      <c r="H304" s="241"/>
    </row>
    <row r="305" spans="1:9" ht="15" customHeight="1">
      <c r="A305" s="243">
        <v>117</v>
      </c>
      <c r="B305" s="251">
        <f t="shared" si="37"/>
        <v>42144</v>
      </c>
      <c r="C305" s="228" t="s">
        <v>195</v>
      </c>
      <c r="D305" s="229" t="s">
        <v>2</v>
      </c>
      <c r="E305" s="230" t="s">
        <v>81</v>
      </c>
      <c r="F305" s="236">
        <f>Budget!G113/46</f>
        <v>207000</v>
      </c>
      <c r="G305" s="237" t="s">
        <v>209</v>
      </c>
      <c r="H305" s="241"/>
    </row>
    <row r="306" spans="1:9" ht="15" customHeight="1">
      <c r="A306" s="243">
        <v>118</v>
      </c>
      <c r="B306" s="251">
        <f t="shared" si="37"/>
        <v>42144</v>
      </c>
      <c r="C306" s="228" t="s">
        <v>195</v>
      </c>
      <c r="D306" s="229" t="s">
        <v>57</v>
      </c>
      <c r="E306" s="230" t="s">
        <v>79</v>
      </c>
      <c r="F306" s="236">
        <f>Budget!G114/46</f>
        <v>200000</v>
      </c>
      <c r="G306" s="237" t="s">
        <v>209</v>
      </c>
      <c r="H306" s="241"/>
    </row>
    <row r="307" spans="1:9" ht="15" customHeight="1">
      <c r="A307" s="243">
        <v>119</v>
      </c>
      <c r="B307" s="251">
        <f t="shared" si="37"/>
        <v>42144</v>
      </c>
      <c r="C307" s="228" t="s">
        <v>195</v>
      </c>
      <c r="D307" s="229" t="s">
        <v>57</v>
      </c>
      <c r="E307" s="230" t="s">
        <v>188</v>
      </c>
      <c r="F307" s="236">
        <f>Budget!G118/46</f>
        <v>70000</v>
      </c>
      <c r="G307" s="237" t="s">
        <v>209</v>
      </c>
      <c r="H307" s="241"/>
    </row>
    <row r="308" spans="1:9" ht="15" customHeight="1">
      <c r="A308" s="243">
        <v>120</v>
      </c>
      <c r="B308" s="251">
        <f t="shared" si="37"/>
        <v>42144</v>
      </c>
      <c r="C308" s="228" t="s">
        <v>195</v>
      </c>
      <c r="D308" s="229" t="s">
        <v>3</v>
      </c>
      <c r="E308" s="230" t="s">
        <v>76</v>
      </c>
      <c r="F308" s="236">
        <f>Budget!G119/46</f>
        <v>300000</v>
      </c>
      <c r="G308" s="237" t="s">
        <v>209</v>
      </c>
    </row>
    <row r="309" spans="1:9" ht="15" customHeight="1">
      <c r="A309" s="243">
        <v>121</v>
      </c>
      <c r="B309" s="251">
        <f t="shared" si="37"/>
        <v>42144</v>
      </c>
      <c r="C309" s="228" t="s">
        <v>195</v>
      </c>
      <c r="D309" s="229" t="s">
        <v>2</v>
      </c>
      <c r="E309" s="230" t="s">
        <v>357</v>
      </c>
      <c r="F309" s="236">
        <f>Budget!G120/46</f>
        <v>8613000</v>
      </c>
      <c r="G309" s="237" t="s">
        <v>209</v>
      </c>
      <c r="H309" s="238"/>
    </row>
    <row r="310" spans="1:9" ht="15" customHeight="1">
      <c r="A310" s="243">
        <v>122</v>
      </c>
      <c r="B310" s="251">
        <f t="shared" si="37"/>
        <v>42144</v>
      </c>
      <c r="C310" s="228" t="s">
        <v>195</v>
      </c>
      <c r="D310" s="229" t="s">
        <v>57</v>
      </c>
      <c r="E310" s="230" t="s">
        <v>184</v>
      </c>
      <c r="F310" s="236">
        <f>Budget!G123/46</f>
        <v>225000</v>
      </c>
      <c r="G310" s="237" t="s">
        <v>209</v>
      </c>
      <c r="H310" s="238"/>
    </row>
    <row r="311" spans="1:9" ht="15" customHeight="1">
      <c r="A311" s="243">
        <v>123</v>
      </c>
      <c r="B311" s="251">
        <f>B310+1</f>
        <v>42145</v>
      </c>
      <c r="C311" s="228" t="s">
        <v>195</v>
      </c>
      <c r="D311" s="229" t="s">
        <v>57</v>
      </c>
      <c r="E311" s="230" t="s">
        <v>313</v>
      </c>
      <c r="F311" s="236">
        <f>Budget!G124/46</f>
        <v>200000</v>
      </c>
      <c r="G311" s="237" t="str">
        <f>G310</f>
        <v>T. pilihan</v>
      </c>
      <c r="I311" s="238"/>
    </row>
    <row r="312" spans="1:9" ht="15.75">
      <c r="A312" s="243">
        <v>78</v>
      </c>
      <c r="B312" s="251">
        <f>B301+1</f>
        <v>42145</v>
      </c>
      <c r="C312" s="228" t="s">
        <v>195</v>
      </c>
      <c r="D312" s="229"/>
      <c r="E312" s="239" t="s">
        <v>205</v>
      </c>
      <c r="F312" s="236"/>
      <c r="G312" s="237" t="s">
        <v>206</v>
      </c>
      <c r="H312" s="241"/>
    </row>
    <row r="313" spans="1:9" ht="15.75">
      <c r="A313" s="243">
        <v>79</v>
      </c>
      <c r="B313" s="251">
        <f>B312</f>
        <v>42145</v>
      </c>
      <c r="C313" s="228" t="s">
        <v>195</v>
      </c>
      <c r="D313" s="229" t="s">
        <v>2</v>
      </c>
      <c r="E313" s="230" t="s">
        <v>60</v>
      </c>
      <c r="F313" s="236">
        <v>1350000</v>
      </c>
      <c r="G313" s="237" t="s">
        <v>206</v>
      </c>
    </row>
    <row r="314" spans="1:9" ht="15.75">
      <c r="A314" s="243">
        <v>80</v>
      </c>
      <c r="B314" s="251">
        <f t="shared" ref="B314:B327" si="38">B313</f>
        <v>42145</v>
      </c>
      <c r="C314" s="228" t="s">
        <v>195</v>
      </c>
      <c r="D314" s="229" t="s">
        <v>3</v>
      </c>
      <c r="E314" s="230" t="s">
        <v>79</v>
      </c>
      <c r="F314" s="236">
        <v>200000</v>
      </c>
      <c r="G314" s="237" t="s">
        <v>206</v>
      </c>
    </row>
    <row r="315" spans="1:9" ht="15.75">
      <c r="A315" s="243">
        <v>81</v>
      </c>
      <c r="B315" s="251">
        <f t="shared" si="38"/>
        <v>42145</v>
      </c>
      <c r="C315" s="228" t="s">
        <v>195</v>
      </c>
      <c r="D315" s="229" t="s">
        <v>3</v>
      </c>
      <c r="E315" s="230" t="s">
        <v>76</v>
      </c>
      <c r="F315" s="236">
        <v>300000</v>
      </c>
      <c r="G315" s="237" t="s">
        <v>206</v>
      </c>
    </row>
    <row r="316" spans="1:9" ht="15.75">
      <c r="A316" s="243">
        <v>82</v>
      </c>
      <c r="B316" s="251">
        <f t="shared" si="38"/>
        <v>42145</v>
      </c>
      <c r="C316" s="228" t="s">
        <v>195</v>
      </c>
      <c r="D316" s="229" t="s">
        <v>2</v>
      </c>
      <c r="E316" s="230" t="s">
        <v>174</v>
      </c>
      <c r="F316" s="236">
        <v>315000</v>
      </c>
      <c r="G316" s="237" t="s">
        <v>206</v>
      </c>
    </row>
    <row r="317" spans="1:9" ht="25.5">
      <c r="A317" s="243">
        <v>83</v>
      </c>
      <c r="B317" s="251">
        <f t="shared" si="38"/>
        <v>42145</v>
      </c>
      <c r="C317" s="228" t="s">
        <v>195</v>
      </c>
      <c r="D317" s="229" t="s">
        <v>57</v>
      </c>
      <c r="E317" s="230" t="s">
        <v>187</v>
      </c>
      <c r="F317" s="236">
        <v>105000</v>
      </c>
      <c r="G317" s="237" t="s">
        <v>206</v>
      </c>
    </row>
    <row r="318" spans="1:9" ht="15.75">
      <c r="A318" s="243">
        <v>84</v>
      </c>
      <c r="B318" s="251">
        <f t="shared" si="38"/>
        <v>42145</v>
      </c>
      <c r="C318" s="228" t="s">
        <v>195</v>
      </c>
      <c r="D318" s="229" t="s">
        <v>57</v>
      </c>
      <c r="E318" s="230" t="s">
        <v>184</v>
      </c>
      <c r="F318" s="236">
        <v>75000</v>
      </c>
      <c r="G318" s="237" t="s">
        <v>206</v>
      </c>
    </row>
    <row r="319" spans="1:9" ht="15" customHeight="1">
      <c r="A319" s="243">
        <v>114</v>
      </c>
      <c r="B319" s="251">
        <f t="shared" si="38"/>
        <v>42145</v>
      </c>
      <c r="C319" s="228" t="s">
        <v>195</v>
      </c>
      <c r="D319" s="229"/>
      <c r="E319" s="239" t="s">
        <v>17</v>
      </c>
      <c r="F319" s="236"/>
      <c r="G319" s="237" t="s">
        <v>209</v>
      </c>
    </row>
    <row r="320" spans="1:9" ht="15" customHeight="1">
      <c r="A320" s="243">
        <v>115</v>
      </c>
      <c r="B320" s="251">
        <f t="shared" si="38"/>
        <v>42145</v>
      </c>
      <c r="C320" s="228" t="s">
        <v>195</v>
      </c>
      <c r="D320" s="229" t="s">
        <v>42</v>
      </c>
      <c r="E320" s="230" t="s">
        <v>364</v>
      </c>
      <c r="F320" s="236">
        <v>10568660.869565219</v>
      </c>
      <c r="G320" s="237" t="s">
        <v>209</v>
      </c>
      <c r="H320" s="241"/>
    </row>
    <row r="321" spans="1:9" ht="15" customHeight="1">
      <c r="A321" s="243">
        <v>116</v>
      </c>
      <c r="B321" s="251">
        <f t="shared" si="38"/>
        <v>42145</v>
      </c>
      <c r="C321" s="228" t="s">
        <v>195</v>
      </c>
      <c r="D321" s="229" t="s">
        <v>2</v>
      </c>
      <c r="E321" s="230" t="s">
        <v>170</v>
      </c>
      <c r="F321" s="236">
        <v>1170000</v>
      </c>
      <c r="G321" s="237" t="s">
        <v>209</v>
      </c>
      <c r="H321" s="241"/>
    </row>
    <row r="322" spans="1:9" ht="15" customHeight="1">
      <c r="A322" s="243">
        <v>117</v>
      </c>
      <c r="B322" s="251">
        <f t="shared" si="38"/>
        <v>42145</v>
      </c>
      <c r="C322" s="228" t="s">
        <v>195</v>
      </c>
      <c r="D322" s="229" t="s">
        <v>2</v>
      </c>
      <c r="E322" s="230" t="s">
        <v>81</v>
      </c>
      <c r="F322" s="236">
        <v>207000</v>
      </c>
      <c r="G322" s="237" t="s">
        <v>209</v>
      </c>
      <c r="H322" s="241"/>
    </row>
    <row r="323" spans="1:9" ht="15" customHeight="1">
      <c r="A323" s="243">
        <v>118</v>
      </c>
      <c r="B323" s="251">
        <f t="shared" si="38"/>
        <v>42145</v>
      </c>
      <c r="C323" s="228" t="s">
        <v>195</v>
      </c>
      <c r="D323" s="229" t="s">
        <v>57</v>
      </c>
      <c r="E323" s="230" t="s">
        <v>79</v>
      </c>
      <c r="F323" s="236">
        <v>200000</v>
      </c>
      <c r="G323" s="237" t="s">
        <v>209</v>
      </c>
      <c r="H323" s="241"/>
    </row>
    <row r="324" spans="1:9" ht="15" customHeight="1">
      <c r="A324" s="243">
        <v>119</v>
      </c>
      <c r="B324" s="251">
        <f t="shared" si="38"/>
        <v>42145</v>
      </c>
      <c r="C324" s="228" t="s">
        <v>195</v>
      </c>
      <c r="D324" s="229" t="s">
        <v>57</v>
      </c>
      <c r="E324" s="230" t="s">
        <v>188</v>
      </c>
      <c r="F324" s="236">
        <v>70000</v>
      </c>
      <c r="G324" s="237" t="s">
        <v>209</v>
      </c>
      <c r="H324" s="241"/>
    </row>
    <row r="325" spans="1:9" ht="15" customHeight="1">
      <c r="A325" s="243">
        <v>120</v>
      </c>
      <c r="B325" s="251">
        <f t="shared" si="38"/>
        <v>42145</v>
      </c>
      <c r="C325" s="228" t="s">
        <v>195</v>
      </c>
      <c r="D325" s="229" t="s">
        <v>3</v>
      </c>
      <c r="E325" s="230" t="s">
        <v>76</v>
      </c>
      <c r="F325" s="236">
        <v>300000</v>
      </c>
      <c r="G325" s="237" t="s">
        <v>209</v>
      </c>
    </row>
    <row r="326" spans="1:9" ht="15" customHeight="1">
      <c r="A326" s="243">
        <v>121</v>
      </c>
      <c r="B326" s="251">
        <f t="shared" si="38"/>
        <v>42145</v>
      </c>
      <c r="C326" s="228" t="s">
        <v>195</v>
      </c>
      <c r="D326" s="229" t="s">
        <v>2</v>
      </c>
      <c r="E326" s="230" t="s">
        <v>357</v>
      </c>
      <c r="F326" s="236">
        <v>8613000</v>
      </c>
      <c r="G326" s="237" t="s">
        <v>209</v>
      </c>
      <c r="H326" s="238"/>
    </row>
    <row r="327" spans="1:9" ht="15" customHeight="1">
      <c r="A327" s="243">
        <v>122</v>
      </c>
      <c r="B327" s="251">
        <f t="shared" si="38"/>
        <v>42145</v>
      </c>
      <c r="C327" s="228" t="s">
        <v>195</v>
      </c>
      <c r="D327" s="229" t="s">
        <v>57</v>
      </c>
      <c r="E327" s="230" t="s">
        <v>184</v>
      </c>
      <c r="F327" s="236">
        <v>225000</v>
      </c>
      <c r="G327" s="237" t="s">
        <v>209</v>
      </c>
      <c r="H327" s="238"/>
    </row>
    <row r="328" spans="1:9" ht="15" customHeight="1">
      <c r="A328" s="243">
        <v>123</v>
      </c>
      <c r="B328" s="251">
        <f>B327+1</f>
        <v>42146</v>
      </c>
      <c r="C328" s="228" t="s">
        <v>195</v>
      </c>
      <c r="D328" s="229" t="s">
        <v>57</v>
      </c>
      <c r="E328" s="230" t="s">
        <v>313</v>
      </c>
      <c r="F328" s="236">
        <v>200000</v>
      </c>
      <c r="G328" s="237" t="str">
        <f>G327</f>
        <v>T. pilihan</v>
      </c>
      <c r="I328" s="238"/>
    </row>
    <row r="329" spans="1:9" ht="15.75">
      <c r="A329" s="243">
        <v>85</v>
      </c>
      <c r="B329" s="251">
        <f>B318+1</f>
        <v>42146</v>
      </c>
      <c r="C329" s="228" t="s">
        <v>195</v>
      </c>
      <c r="D329" s="229"/>
      <c r="E329" s="239" t="s">
        <v>205</v>
      </c>
      <c r="F329" s="236"/>
      <c r="G329" s="237" t="s">
        <v>206</v>
      </c>
    </row>
    <row r="330" spans="1:9" ht="15.75">
      <c r="A330" s="243">
        <v>86</v>
      </c>
      <c r="B330" s="251">
        <f>B329</f>
        <v>42146</v>
      </c>
      <c r="C330" s="228" t="s">
        <v>195</v>
      </c>
      <c r="D330" s="229" t="s">
        <v>2</v>
      </c>
      <c r="E330" s="230" t="s">
        <v>60</v>
      </c>
      <c r="F330" s="236">
        <v>1350000</v>
      </c>
      <c r="G330" s="237" t="s">
        <v>206</v>
      </c>
    </row>
    <row r="331" spans="1:9" ht="15.75">
      <c r="A331" s="243">
        <v>87</v>
      </c>
      <c r="B331" s="251">
        <f t="shared" ref="B331:B344" si="39">B330</f>
        <v>42146</v>
      </c>
      <c r="C331" s="228" t="s">
        <v>195</v>
      </c>
      <c r="D331" s="229" t="s">
        <v>3</v>
      </c>
      <c r="E331" s="230" t="s">
        <v>79</v>
      </c>
      <c r="F331" s="236">
        <v>200000</v>
      </c>
      <c r="G331" s="237" t="s">
        <v>206</v>
      </c>
    </row>
    <row r="332" spans="1:9" ht="15.75">
      <c r="A332" s="243">
        <v>88</v>
      </c>
      <c r="B332" s="251">
        <f t="shared" si="39"/>
        <v>42146</v>
      </c>
      <c r="C332" s="228" t="s">
        <v>195</v>
      </c>
      <c r="D332" s="229" t="s">
        <v>3</v>
      </c>
      <c r="E332" s="230" t="s">
        <v>76</v>
      </c>
      <c r="F332" s="236">
        <v>300000</v>
      </c>
      <c r="G332" s="237" t="s">
        <v>206</v>
      </c>
    </row>
    <row r="333" spans="1:9" ht="15.75">
      <c r="A333" s="243">
        <v>89</v>
      </c>
      <c r="B333" s="251">
        <f t="shared" si="39"/>
        <v>42146</v>
      </c>
      <c r="C333" s="228" t="s">
        <v>195</v>
      </c>
      <c r="D333" s="229" t="s">
        <v>2</v>
      </c>
      <c r="E333" s="230" t="s">
        <v>174</v>
      </c>
      <c r="F333" s="236">
        <v>315000</v>
      </c>
      <c r="G333" s="237" t="s">
        <v>206</v>
      </c>
    </row>
    <row r="334" spans="1:9" ht="25.5">
      <c r="A334" s="243">
        <v>90</v>
      </c>
      <c r="B334" s="251">
        <f t="shared" si="39"/>
        <v>42146</v>
      </c>
      <c r="C334" s="228" t="s">
        <v>195</v>
      </c>
      <c r="D334" s="229" t="s">
        <v>57</v>
      </c>
      <c r="E334" s="230" t="s">
        <v>187</v>
      </c>
      <c r="F334" s="236">
        <v>105000</v>
      </c>
      <c r="G334" s="237" t="s">
        <v>206</v>
      </c>
    </row>
    <row r="335" spans="1:9" ht="15.75">
      <c r="A335" s="243">
        <v>91</v>
      </c>
      <c r="B335" s="251">
        <f t="shared" si="39"/>
        <v>42146</v>
      </c>
      <c r="C335" s="228" t="s">
        <v>195</v>
      </c>
      <c r="D335" s="229" t="s">
        <v>57</v>
      </c>
      <c r="E335" s="230" t="s">
        <v>184</v>
      </c>
      <c r="F335" s="236">
        <v>75000</v>
      </c>
      <c r="G335" s="237" t="s">
        <v>206</v>
      </c>
      <c r="H335" s="241"/>
    </row>
    <row r="336" spans="1:9" ht="15" customHeight="1">
      <c r="A336" s="243">
        <v>114</v>
      </c>
      <c r="B336" s="251">
        <f t="shared" si="39"/>
        <v>42146</v>
      </c>
      <c r="C336" s="228" t="s">
        <v>195</v>
      </c>
      <c r="D336" s="229"/>
      <c r="E336" s="239" t="s">
        <v>17</v>
      </c>
      <c r="F336" s="236"/>
      <c r="G336" s="237" t="s">
        <v>209</v>
      </c>
    </row>
    <row r="337" spans="1:9" ht="15" customHeight="1">
      <c r="A337" s="243">
        <v>115</v>
      </c>
      <c r="B337" s="251">
        <f t="shared" si="39"/>
        <v>42146</v>
      </c>
      <c r="C337" s="228" t="s">
        <v>195</v>
      </c>
      <c r="D337" s="229" t="s">
        <v>42</v>
      </c>
      <c r="E337" s="230" t="s">
        <v>364</v>
      </c>
      <c r="F337" s="236">
        <v>10568660.869565219</v>
      </c>
      <c r="G337" s="237" t="s">
        <v>209</v>
      </c>
      <c r="H337" s="241"/>
    </row>
    <row r="338" spans="1:9" ht="15" customHeight="1">
      <c r="A338" s="243">
        <v>116</v>
      </c>
      <c r="B338" s="251">
        <f t="shared" si="39"/>
        <v>42146</v>
      </c>
      <c r="C338" s="228" t="s">
        <v>195</v>
      </c>
      <c r="D338" s="229" t="s">
        <v>2</v>
      </c>
      <c r="E338" s="230" t="s">
        <v>170</v>
      </c>
      <c r="F338" s="236">
        <v>1170000</v>
      </c>
      <c r="G338" s="237" t="s">
        <v>209</v>
      </c>
      <c r="H338" s="241"/>
    </row>
    <row r="339" spans="1:9" ht="15" customHeight="1">
      <c r="A339" s="243">
        <v>117</v>
      </c>
      <c r="B339" s="251">
        <f t="shared" si="39"/>
        <v>42146</v>
      </c>
      <c r="C339" s="228" t="s">
        <v>195</v>
      </c>
      <c r="D339" s="229" t="s">
        <v>2</v>
      </c>
      <c r="E339" s="230" t="s">
        <v>81</v>
      </c>
      <c r="F339" s="236">
        <v>207000</v>
      </c>
      <c r="G339" s="237" t="s">
        <v>209</v>
      </c>
      <c r="H339" s="241"/>
    </row>
    <row r="340" spans="1:9" ht="15" customHeight="1">
      <c r="A340" s="243">
        <v>118</v>
      </c>
      <c r="B340" s="251">
        <f t="shared" si="39"/>
        <v>42146</v>
      </c>
      <c r="C340" s="228" t="s">
        <v>195</v>
      </c>
      <c r="D340" s="229" t="s">
        <v>57</v>
      </c>
      <c r="E340" s="230" t="s">
        <v>79</v>
      </c>
      <c r="F340" s="236">
        <v>200000</v>
      </c>
      <c r="G340" s="237" t="s">
        <v>209</v>
      </c>
      <c r="H340" s="241"/>
    </row>
    <row r="341" spans="1:9" ht="15" customHeight="1">
      <c r="A341" s="243">
        <v>119</v>
      </c>
      <c r="B341" s="251">
        <f t="shared" si="39"/>
        <v>42146</v>
      </c>
      <c r="C341" s="228" t="s">
        <v>195</v>
      </c>
      <c r="D341" s="229" t="s">
        <v>57</v>
      </c>
      <c r="E341" s="230" t="s">
        <v>188</v>
      </c>
      <c r="F341" s="236">
        <v>70000</v>
      </c>
      <c r="G341" s="237" t="s">
        <v>209</v>
      </c>
      <c r="H341" s="241"/>
    </row>
    <row r="342" spans="1:9" ht="15" customHeight="1">
      <c r="A342" s="243">
        <v>120</v>
      </c>
      <c r="B342" s="251">
        <f t="shared" si="39"/>
        <v>42146</v>
      </c>
      <c r="C342" s="228" t="s">
        <v>195</v>
      </c>
      <c r="D342" s="229" t="s">
        <v>3</v>
      </c>
      <c r="E342" s="230" t="s">
        <v>76</v>
      </c>
      <c r="F342" s="236">
        <v>300000</v>
      </c>
      <c r="G342" s="237" t="s">
        <v>209</v>
      </c>
    </row>
    <row r="343" spans="1:9" ht="15" customHeight="1">
      <c r="A343" s="243">
        <v>121</v>
      </c>
      <c r="B343" s="251">
        <f t="shared" si="39"/>
        <v>42146</v>
      </c>
      <c r="C343" s="228" t="s">
        <v>195</v>
      </c>
      <c r="D343" s="229" t="s">
        <v>2</v>
      </c>
      <c r="E343" s="230" t="s">
        <v>357</v>
      </c>
      <c r="F343" s="236">
        <v>8613000</v>
      </c>
      <c r="G343" s="237" t="s">
        <v>209</v>
      </c>
      <c r="H343" s="238"/>
    </row>
    <row r="344" spans="1:9" ht="15" customHeight="1">
      <c r="A344" s="243">
        <v>122</v>
      </c>
      <c r="B344" s="251">
        <f t="shared" si="39"/>
        <v>42146</v>
      </c>
      <c r="C344" s="228" t="s">
        <v>195</v>
      </c>
      <c r="D344" s="229" t="s">
        <v>57</v>
      </c>
      <c r="E344" s="230" t="s">
        <v>184</v>
      </c>
      <c r="F344" s="236">
        <v>225000</v>
      </c>
      <c r="G344" s="237" t="s">
        <v>209</v>
      </c>
      <c r="H344" s="238"/>
    </row>
    <row r="345" spans="1:9" ht="15" customHeight="1">
      <c r="A345" s="243">
        <v>123</v>
      </c>
      <c r="B345" s="251">
        <f>B344+1</f>
        <v>42147</v>
      </c>
      <c r="C345" s="228" t="s">
        <v>195</v>
      </c>
      <c r="D345" s="229" t="s">
        <v>57</v>
      </c>
      <c r="E345" s="230" t="s">
        <v>313</v>
      </c>
      <c r="F345" s="236">
        <v>200000</v>
      </c>
      <c r="G345" s="237" t="str">
        <f>G344</f>
        <v>T. pilihan</v>
      </c>
      <c r="I345" s="238"/>
    </row>
    <row r="346" spans="1:9" ht="15.75">
      <c r="A346" s="243">
        <v>92</v>
      </c>
      <c r="B346" s="251">
        <f>B335+1</f>
        <v>42147</v>
      </c>
      <c r="C346" s="228" t="s">
        <v>195</v>
      </c>
      <c r="D346" s="229"/>
      <c r="E346" s="239" t="s">
        <v>205</v>
      </c>
      <c r="F346" s="236"/>
      <c r="G346" s="237" t="s">
        <v>206</v>
      </c>
      <c r="H346" s="241"/>
    </row>
    <row r="347" spans="1:9" ht="15.75">
      <c r="A347" s="243">
        <v>93</v>
      </c>
      <c r="B347" s="251">
        <f>B346</f>
        <v>42147</v>
      </c>
      <c r="C347" s="228" t="s">
        <v>195</v>
      </c>
      <c r="D347" s="229" t="s">
        <v>2</v>
      </c>
      <c r="E347" s="230" t="s">
        <v>60</v>
      </c>
      <c r="F347" s="236">
        <v>1350000</v>
      </c>
      <c r="G347" s="237" t="s">
        <v>206</v>
      </c>
    </row>
    <row r="348" spans="1:9" ht="15.75">
      <c r="A348" s="243">
        <v>94</v>
      </c>
      <c r="B348" s="251">
        <f t="shared" ref="B348:B361" si="40">B347</f>
        <v>42147</v>
      </c>
      <c r="C348" s="228" t="s">
        <v>195</v>
      </c>
      <c r="D348" s="229" t="s">
        <v>3</v>
      </c>
      <c r="E348" s="230" t="s">
        <v>79</v>
      </c>
      <c r="F348" s="236">
        <v>200000</v>
      </c>
      <c r="G348" s="237" t="s">
        <v>206</v>
      </c>
    </row>
    <row r="349" spans="1:9" ht="15.75">
      <c r="A349" s="243">
        <v>95</v>
      </c>
      <c r="B349" s="251">
        <f t="shared" si="40"/>
        <v>42147</v>
      </c>
      <c r="C349" s="228" t="s">
        <v>195</v>
      </c>
      <c r="D349" s="229" t="s">
        <v>3</v>
      </c>
      <c r="E349" s="230" t="s">
        <v>76</v>
      </c>
      <c r="F349" s="236">
        <v>300000</v>
      </c>
      <c r="G349" s="237" t="s">
        <v>206</v>
      </c>
    </row>
    <row r="350" spans="1:9" ht="15.75">
      <c r="A350" s="243">
        <v>96</v>
      </c>
      <c r="B350" s="251">
        <f t="shared" si="40"/>
        <v>42147</v>
      </c>
      <c r="C350" s="228" t="s">
        <v>195</v>
      </c>
      <c r="D350" s="229" t="s">
        <v>2</v>
      </c>
      <c r="E350" s="230" t="s">
        <v>174</v>
      </c>
      <c r="F350" s="236">
        <v>315000</v>
      </c>
      <c r="G350" s="237" t="s">
        <v>206</v>
      </c>
    </row>
    <row r="351" spans="1:9" ht="25.5">
      <c r="A351" s="243">
        <v>97</v>
      </c>
      <c r="B351" s="251">
        <f t="shared" si="40"/>
        <v>42147</v>
      </c>
      <c r="C351" s="228" t="s">
        <v>195</v>
      </c>
      <c r="D351" s="229" t="s">
        <v>57</v>
      </c>
      <c r="E351" s="230" t="s">
        <v>187</v>
      </c>
      <c r="F351" s="236">
        <v>105000</v>
      </c>
      <c r="G351" s="237" t="s">
        <v>206</v>
      </c>
    </row>
    <row r="352" spans="1:9" ht="15.75">
      <c r="A352" s="243">
        <v>98</v>
      </c>
      <c r="B352" s="251">
        <f t="shared" si="40"/>
        <v>42147</v>
      </c>
      <c r="C352" s="228" t="s">
        <v>195</v>
      </c>
      <c r="D352" s="229" t="s">
        <v>57</v>
      </c>
      <c r="E352" s="230" t="s">
        <v>184</v>
      </c>
      <c r="F352" s="236">
        <v>75000</v>
      </c>
      <c r="G352" s="237" t="s">
        <v>206</v>
      </c>
    </row>
    <row r="353" spans="1:9" ht="15" customHeight="1">
      <c r="A353" s="243">
        <v>114</v>
      </c>
      <c r="B353" s="251">
        <f t="shared" si="40"/>
        <v>42147</v>
      </c>
      <c r="C353" s="228" t="s">
        <v>195</v>
      </c>
      <c r="D353" s="229"/>
      <c r="E353" s="239" t="s">
        <v>17</v>
      </c>
      <c r="F353" s="236"/>
      <c r="G353" s="237" t="s">
        <v>209</v>
      </c>
    </row>
    <row r="354" spans="1:9" ht="15" customHeight="1">
      <c r="A354" s="243">
        <v>115</v>
      </c>
      <c r="B354" s="251">
        <f t="shared" si="40"/>
        <v>42147</v>
      </c>
      <c r="C354" s="228" t="s">
        <v>195</v>
      </c>
      <c r="D354" s="229" t="s">
        <v>42</v>
      </c>
      <c r="E354" s="230" t="s">
        <v>364</v>
      </c>
      <c r="F354" s="236">
        <v>10568660.869565219</v>
      </c>
      <c r="G354" s="237" t="s">
        <v>209</v>
      </c>
      <c r="H354" s="241"/>
    </row>
    <row r="355" spans="1:9" ht="15" customHeight="1">
      <c r="A355" s="243">
        <v>116</v>
      </c>
      <c r="B355" s="251">
        <f t="shared" si="40"/>
        <v>42147</v>
      </c>
      <c r="C355" s="228" t="s">
        <v>195</v>
      </c>
      <c r="D355" s="229" t="s">
        <v>2</v>
      </c>
      <c r="E355" s="230" t="s">
        <v>170</v>
      </c>
      <c r="F355" s="236">
        <v>1170000</v>
      </c>
      <c r="G355" s="237" t="s">
        <v>209</v>
      </c>
      <c r="H355" s="241"/>
    </row>
    <row r="356" spans="1:9" ht="15" customHeight="1">
      <c r="A356" s="243">
        <v>117</v>
      </c>
      <c r="B356" s="251">
        <f t="shared" si="40"/>
        <v>42147</v>
      </c>
      <c r="C356" s="228" t="s">
        <v>195</v>
      </c>
      <c r="D356" s="229" t="s">
        <v>2</v>
      </c>
      <c r="E356" s="230" t="s">
        <v>81</v>
      </c>
      <c r="F356" s="236">
        <v>207000</v>
      </c>
      <c r="G356" s="237" t="s">
        <v>209</v>
      </c>
      <c r="H356" s="241"/>
    </row>
    <row r="357" spans="1:9" ht="15" customHeight="1">
      <c r="A357" s="243">
        <v>118</v>
      </c>
      <c r="B357" s="251">
        <f t="shared" si="40"/>
        <v>42147</v>
      </c>
      <c r="C357" s="228" t="s">
        <v>195</v>
      </c>
      <c r="D357" s="229" t="s">
        <v>57</v>
      </c>
      <c r="E357" s="230" t="s">
        <v>79</v>
      </c>
      <c r="F357" s="236">
        <v>200000</v>
      </c>
      <c r="G357" s="237" t="s">
        <v>209</v>
      </c>
      <c r="H357" s="241"/>
    </row>
    <row r="358" spans="1:9" ht="15" customHeight="1">
      <c r="A358" s="243">
        <v>119</v>
      </c>
      <c r="B358" s="251">
        <f t="shared" si="40"/>
        <v>42147</v>
      </c>
      <c r="C358" s="228" t="s">
        <v>195</v>
      </c>
      <c r="D358" s="229" t="s">
        <v>57</v>
      </c>
      <c r="E358" s="230" t="s">
        <v>188</v>
      </c>
      <c r="F358" s="236">
        <v>70000</v>
      </c>
      <c r="G358" s="237" t="s">
        <v>209</v>
      </c>
      <c r="H358" s="241"/>
    </row>
    <row r="359" spans="1:9" ht="15" customHeight="1">
      <c r="A359" s="243">
        <v>120</v>
      </c>
      <c r="B359" s="251">
        <f t="shared" si="40"/>
        <v>42147</v>
      </c>
      <c r="C359" s="228" t="s">
        <v>195</v>
      </c>
      <c r="D359" s="229" t="s">
        <v>3</v>
      </c>
      <c r="E359" s="230" t="s">
        <v>76</v>
      </c>
      <c r="F359" s="236">
        <v>300000</v>
      </c>
      <c r="G359" s="237" t="s">
        <v>209</v>
      </c>
    </row>
    <row r="360" spans="1:9" ht="15" customHeight="1">
      <c r="A360" s="243">
        <v>121</v>
      </c>
      <c r="B360" s="251">
        <f t="shared" si="40"/>
        <v>42147</v>
      </c>
      <c r="C360" s="228" t="s">
        <v>195</v>
      </c>
      <c r="D360" s="229" t="s">
        <v>2</v>
      </c>
      <c r="E360" s="230" t="s">
        <v>357</v>
      </c>
      <c r="F360" s="236">
        <v>8613000</v>
      </c>
      <c r="G360" s="237" t="s">
        <v>209</v>
      </c>
      <c r="H360" s="238"/>
    </row>
    <row r="361" spans="1:9" ht="15" customHeight="1">
      <c r="A361" s="243">
        <v>122</v>
      </c>
      <c r="B361" s="251">
        <f t="shared" si="40"/>
        <v>42147</v>
      </c>
      <c r="C361" s="228" t="s">
        <v>195</v>
      </c>
      <c r="D361" s="229" t="s">
        <v>57</v>
      </c>
      <c r="E361" s="230" t="s">
        <v>184</v>
      </c>
      <c r="F361" s="236">
        <v>225000</v>
      </c>
      <c r="G361" s="237" t="s">
        <v>209</v>
      </c>
      <c r="H361" s="238"/>
    </row>
    <row r="362" spans="1:9" ht="15" customHeight="1">
      <c r="A362" s="243">
        <v>123</v>
      </c>
      <c r="B362" s="251">
        <f>B361+1</f>
        <v>42148</v>
      </c>
      <c r="C362" s="228" t="s">
        <v>195</v>
      </c>
      <c r="D362" s="229" t="s">
        <v>57</v>
      </c>
      <c r="E362" s="230" t="s">
        <v>313</v>
      </c>
      <c r="F362" s="236">
        <v>200000</v>
      </c>
      <c r="G362" s="237" t="str">
        <f>G361</f>
        <v>T. pilihan</v>
      </c>
      <c r="I362" s="238"/>
    </row>
    <row r="363" spans="1:9" ht="15.75">
      <c r="A363" s="243">
        <v>99</v>
      </c>
      <c r="B363" s="251">
        <f>B352+1</f>
        <v>42148</v>
      </c>
      <c r="C363" s="228" t="s">
        <v>195</v>
      </c>
      <c r="D363" s="229"/>
      <c r="E363" s="239" t="s">
        <v>205</v>
      </c>
      <c r="F363" s="236"/>
      <c r="G363" s="237" t="s">
        <v>206</v>
      </c>
    </row>
    <row r="364" spans="1:9" ht="15.75">
      <c r="A364" s="243">
        <v>100</v>
      </c>
      <c r="B364" s="251">
        <f>B363</f>
        <v>42148</v>
      </c>
      <c r="C364" s="228" t="s">
        <v>195</v>
      </c>
      <c r="D364" s="229" t="s">
        <v>2</v>
      </c>
      <c r="E364" s="230" t="s">
        <v>60</v>
      </c>
      <c r="F364" s="236">
        <v>1350000</v>
      </c>
      <c r="G364" s="237" t="s">
        <v>206</v>
      </c>
    </row>
    <row r="365" spans="1:9" ht="15.75">
      <c r="A365" s="243">
        <v>101</v>
      </c>
      <c r="B365" s="251">
        <f t="shared" ref="B365:B378" si="41">B364</f>
        <v>42148</v>
      </c>
      <c r="C365" s="228" t="s">
        <v>195</v>
      </c>
      <c r="D365" s="229" t="s">
        <v>3</v>
      </c>
      <c r="E365" s="230" t="s">
        <v>79</v>
      </c>
      <c r="F365" s="236">
        <v>200000</v>
      </c>
      <c r="G365" s="237" t="s">
        <v>206</v>
      </c>
    </row>
    <row r="366" spans="1:9" ht="15.75">
      <c r="A366" s="243">
        <v>102</v>
      </c>
      <c r="B366" s="251">
        <f t="shared" si="41"/>
        <v>42148</v>
      </c>
      <c r="C366" s="228" t="s">
        <v>195</v>
      </c>
      <c r="D366" s="229" t="s">
        <v>3</v>
      </c>
      <c r="E366" s="230" t="s">
        <v>76</v>
      </c>
      <c r="F366" s="236">
        <v>300000</v>
      </c>
      <c r="G366" s="237" t="s">
        <v>206</v>
      </c>
    </row>
    <row r="367" spans="1:9" ht="15.75">
      <c r="A367" s="243">
        <v>103</v>
      </c>
      <c r="B367" s="251">
        <f t="shared" si="41"/>
        <v>42148</v>
      </c>
      <c r="C367" s="228" t="s">
        <v>195</v>
      </c>
      <c r="D367" s="229" t="s">
        <v>2</v>
      </c>
      <c r="E367" s="230" t="s">
        <v>174</v>
      </c>
      <c r="F367" s="236">
        <v>315000</v>
      </c>
      <c r="G367" s="237" t="s">
        <v>206</v>
      </c>
    </row>
    <row r="368" spans="1:9" ht="25.5">
      <c r="A368" s="243">
        <v>104</v>
      </c>
      <c r="B368" s="251">
        <f t="shared" si="41"/>
        <v>42148</v>
      </c>
      <c r="C368" s="228" t="s">
        <v>195</v>
      </c>
      <c r="D368" s="229" t="s">
        <v>57</v>
      </c>
      <c r="E368" s="230" t="s">
        <v>187</v>
      </c>
      <c r="F368" s="236">
        <v>105000</v>
      </c>
      <c r="G368" s="237" t="s">
        <v>206</v>
      </c>
    </row>
    <row r="369" spans="1:9" ht="15.75">
      <c r="A369" s="243">
        <v>105</v>
      </c>
      <c r="B369" s="251">
        <f t="shared" si="41"/>
        <v>42148</v>
      </c>
      <c r="C369" s="228" t="s">
        <v>195</v>
      </c>
      <c r="D369" s="229" t="s">
        <v>57</v>
      </c>
      <c r="E369" s="230" t="s">
        <v>184</v>
      </c>
      <c r="F369" s="236">
        <v>75000</v>
      </c>
      <c r="G369" s="237" t="s">
        <v>206</v>
      </c>
      <c r="H369" s="241"/>
    </row>
    <row r="370" spans="1:9" ht="15" customHeight="1">
      <c r="A370" s="243">
        <v>114</v>
      </c>
      <c r="B370" s="251">
        <f t="shared" si="41"/>
        <v>42148</v>
      </c>
      <c r="C370" s="228" t="s">
        <v>195</v>
      </c>
      <c r="D370" s="229"/>
      <c r="E370" s="239" t="s">
        <v>17</v>
      </c>
      <c r="F370" s="236"/>
      <c r="G370" s="237" t="s">
        <v>209</v>
      </c>
    </row>
    <row r="371" spans="1:9" ht="15" customHeight="1">
      <c r="A371" s="243">
        <v>115</v>
      </c>
      <c r="B371" s="251">
        <f t="shared" si="41"/>
        <v>42148</v>
      </c>
      <c r="C371" s="228" t="s">
        <v>195</v>
      </c>
      <c r="D371" s="229" t="s">
        <v>42</v>
      </c>
      <c r="E371" s="230" t="s">
        <v>364</v>
      </c>
      <c r="F371" s="236">
        <v>10568660.869565219</v>
      </c>
      <c r="G371" s="237" t="s">
        <v>209</v>
      </c>
      <c r="H371" s="241"/>
    </row>
    <row r="372" spans="1:9" ht="15" customHeight="1">
      <c r="A372" s="243">
        <v>116</v>
      </c>
      <c r="B372" s="251">
        <f t="shared" si="41"/>
        <v>42148</v>
      </c>
      <c r="C372" s="228" t="s">
        <v>195</v>
      </c>
      <c r="D372" s="229" t="s">
        <v>2</v>
      </c>
      <c r="E372" s="230" t="s">
        <v>170</v>
      </c>
      <c r="F372" s="236">
        <v>1170000</v>
      </c>
      <c r="G372" s="237" t="s">
        <v>209</v>
      </c>
      <c r="H372" s="241"/>
    </row>
    <row r="373" spans="1:9" ht="15" customHeight="1">
      <c r="A373" s="243">
        <v>117</v>
      </c>
      <c r="B373" s="251">
        <f t="shared" si="41"/>
        <v>42148</v>
      </c>
      <c r="C373" s="228" t="s">
        <v>195</v>
      </c>
      <c r="D373" s="229" t="s">
        <v>2</v>
      </c>
      <c r="E373" s="230" t="s">
        <v>81</v>
      </c>
      <c r="F373" s="236">
        <v>207000</v>
      </c>
      <c r="G373" s="237" t="s">
        <v>209</v>
      </c>
      <c r="H373" s="241"/>
    </row>
    <row r="374" spans="1:9" ht="15" customHeight="1">
      <c r="A374" s="243">
        <v>118</v>
      </c>
      <c r="B374" s="251">
        <f t="shared" si="41"/>
        <v>42148</v>
      </c>
      <c r="C374" s="228" t="s">
        <v>195</v>
      </c>
      <c r="D374" s="229" t="s">
        <v>57</v>
      </c>
      <c r="E374" s="230" t="s">
        <v>79</v>
      </c>
      <c r="F374" s="236">
        <v>200000</v>
      </c>
      <c r="G374" s="237" t="s">
        <v>209</v>
      </c>
      <c r="H374" s="241"/>
    </row>
    <row r="375" spans="1:9" ht="15" customHeight="1">
      <c r="A375" s="243">
        <v>119</v>
      </c>
      <c r="B375" s="251">
        <f t="shared" si="41"/>
        <v>42148</v>
      </c>
      <c r="C375" s="228" t="s">
        <v>195</v>
      </c>
      <c r="D375" s="229" t="s">
        <v>57</v>
      </c>
      <c r="E375" s="230" t="s">
        <v>188</v>
      </c>
      <c r="F375" s="236">
        <v>70000</v>
      </c>
      <c r="G375" s="237" t="s">
        <v>209</v>
      </c>
      <c r="H375" s="241"/>
    </row>
    <row r="376" spans="1:9" ht="15" customHeight="1">
      <c r="A376" s="243">
        <v>120</v>
      </c>
      <c r="B376" s="251">
        <f t="shared" si="41"/>
        <v>42148</v>
      </c>
      <c r="C376" s="228" t="s">
        <v>195</v>
      </c>
      <c r="D376" s="229" t="s">
        <v>3</v>
      </c>
      <c r="E376" s="230" t="s">
        <v>76</v>
      </c>
      <c r="F376" s="236">
        <v>300000</v>
      </c>
      <c r="G376" s="237" t="s">
        <v>209</v>
      </c>
    </row>
    <row r="377" spans="1:9" ht="15" customHeight="1">
      <c r="A377" s="243">
        <v>121</v>
      </c>
      <c r="B377" s="251">
        <f t="shared" si="41"/>
        <v>42148</v>
      </c>
      <c r="C377" s="228" t="s">
        <v>195</v>
      </c>
      <c r="D377" s="229" t="s">
        <v>2</v>
      </c>
      <c r="E377" s="230" t="s">
        <v>357</v>
      </c>
      <c r="F377" s="236">
        <v>8613000</v>
      </c>
      <c r="G377" s="237" t="s">
        <v>209</v>
      </c>
      <c r="H377" s="238"/>
    </row>
    <row r="378" spans="1:9" ht="15" customHeight="1">
      <c r="A378" s="243">
        <v>122</v>
      </c>
      <c r="B378" s="251">
        <f t="shared" si="41"/>
        <v>42148</v>
      </c>
      <c r="C378" s="228" t="s">
        <v>195</v>
      </c>
      <c r="D378" s="229" t="s">
        <v>57</v>
      </c>
      <c r="E378" s="230" t="s">
        <v>184</v>
      </c>
      <c r="F378" s="236">
        <v>225000</v>
      </c>
      <c r="G378" s="237" t="s">
        <v>209</v>
      </c>
      <c r="H378" s="238"/>
    </row>
    <row r="379" spans="1:9" ht="15" customHeight="1">
      <c r="A379" s="243">
        <v>123</v>
      </c>
      <c r="B379" s="251">
        <f>B378</f>
        <v>42148</v>
      </c>
      <c r="C379" s="228" t="s">
        <v>195</v>
      </c>
      <c r="D379" s="229" t="s">
        <v>57</v>
      </c>
      <c r="E379" s="230" t="s">
        <v>313</v>
      </c>
      <c r="F379" s="236">
        <v>200000</v>
      </c>
      <c r="G379" s="237" t="str">
        <f>G378</f>
        <v>T. pilihan</v>
      </c>
      <c r="I379" s="238"/>
    </row>
    <row r="380" spans="1:9" ht="15.75">
      <c r="A380" s="243">
        <f t="shared" ref="A380" si="42">A379+1</f>
        <v>124</v>
      </c>
      <c r="B380" s="251">
        <f>B379</f>
        <v>42148</v>
      </c>
      <c r="C380" s="228" t="s">
        <v>195</v>
      </c>
      <c r="D380" s="229" t="s">
        <v>57</v>
      </c>
      <c r="E380" s="230" t="s">
        <v>226</v>
      </c>
      <c r="F380" s="236">
        <f>5*35000*14</f>
        <v>2450000</v>
      </c>
      <c r="G380" s="237" t="s">
        <v>225</v>
      </c>
      <c r="H380" s="227">
        <v>14</v>
      </c>
    </row>
    <row r="381" spans="1:9">
      <c r="A381" s="243"/>
      <c r="B381" s="251"/>
      <c r="C381" s="228"/>
      <c r="D381" s="228"/>
      <c r="E381" s="230"/>
      <c r="F381" s="236"/>
      <c r="G381" s="237"/>
      <c r="I381" s="269"/>
    </row>
    <row r="382" spans="1:9" s="269" customFormat="1" ht="15">
      <c r="A382" s="262"/>
      <c r="B382" s="263" t="s">
        <v>189</v>
      </c>
      <c r="C382" s="264">
        <f>B379+1</f>
        <v>42149</v>
      </c>
      <c r="D382" s="264">
        <f>C382+13</f>
        <v>42162</v>
      </c>
      <c r="E382" s="265"/>
      <c r="F382" s="266">
        <f>SUM(F383:F621)</f>
        <v>337031252.17391312</v>
      </c>
      <c r="G382" s="267" t="s">
        <v>251</v>
      </c>
      <c r="H382" s="268"/>
      <c r="I382" s="227"/>
    </row>
    <row r="383" spans="1:9" ht="15.75">
      <c r="A383" s="243">
        <v>1</v>
      </c>
      <c r="B383" s="251">
        <f>C382</f>
        <v>42149</v>
      </c>
      <c r="C383" s="228" t="s">
        <v>195</v>
      </c>
      <c r="D383" s="229"/>
      <c r="E383" s="239" t="s">
        <v>205</v>
      </c>
      <c r="F383" s="236"/>
      <c r="G383" s="237" t="s">
        <v>206</v>
      </c>
      <c r="H383" s="233"/>
    </row>
    <row r="384" spans="1:9" ht="15.75">
      <c r="A384" s="243">
        <v>2</v>
      </c>
      <c r="B384" s="251">
        <f>B383</f>
        <v>42149</v>
      </c>
      <c r="C384" s="228" t="s">
        <v>195</v>
      </c>
      <c r="D384" s="229" t="s">
        <v>2</v>
      </c>
      <c r="E384" s="230" t="s">
        <v>60</v>
      </c>
      <c r="F384" s="236">
        <v>1350000</v>
      </c>
      <c r="G384" s="237" t="s">
        <v>206</v>
      </c>
    </row>
    <row r="385" spans="1:8" ht="15.75">
      <c r="A385" s="243">
        <v>3</v>
      </c>
      <c r="B385" s="251">
        <f t="shared" ref="B385:B398" si="43">B384</f>
        <v>42149</v>
      </c>
      <c r="C385" s="228" t="s">
        <v>195</v>
      </c>
      <c r="D385" s="229" t="s">
        <v>3</v>
      </c>
      <c r="E385" s="230" t="s">
        <v>79</v>
      </c>
      <c r="F385" s="236">
        <v>200000</v>
      </c>
      <c r="G385" s="237" t="s">
        <v>206</v>
      </c>
      <c r="H385" s="226"/>
    </row>
    <row r="386" spans="1:8" ht="15.75">
      <c r="A386" s="243">
        <v>4</v>
      </c>
      <c r="B386" s="251">
        <f t="shared" si="43"/>
        <v>42149</v>
      </c>
      <c r="C386" s="228" t="s">
        <v>195</v>
      </c>
      <c r="D386" s="229" t="s">
        <v>3</v>
      </c>
      <c r="E386" s="230" t="s">
        <v>76</v>
      </c>
      <c r="F386" s="236">
        <v>300000</v>
      </c>
      <c r="G386" s="237" t="s">
        <v>206</v>
      </c>
    </row>
    <row r="387" spans="1:8" ht="15.75">
      <c r="A387" s="243">
        <v>5</v>
      </c>
      <c r="B387" s="251">
        <f t="shared" si="43"/>
        <v>42149</v>
      </c>
      <c r="C387" s="228" t="s">
        <v>195</v>
      </c>
      <c r="D387" s="229" t="s">
        <v>2</v>
      </c>
      <c r="E387" s="230" t="s">
        <v>174</v>
      </c>
      <c r="F387" s="236">
        <v>315000</v>
      </c>
      <c r="G387" s="237" t="s">
        <v>206</v>
      </c>
    </row>
    <row r="388" spans="1:8" ht="25.5">
      <c r="A388" s="243">
        <v>6</v>
      </c>
      <c r="B388" s="251">
        <f t="shared" si="43"/>
        <v>42149</v>
      </c>
      <c r="C388" s="228" t="s">
        <v>195</v>
      </c>
      <c r="D388" s="229" t="s">
        <v>57</v>
      </c>
      <c r="E388" s="230" t="s">
        <v>187</v>
      </c>
      <c r="F388" s="236">
        <v>105000</v>
      </c>
      <c r="G388" s="237" t="s">
        <v>206</v>
      </c>
      <c r="H388" s="241"/>
    </row>
    <row r="389" spans="1:8" ht="15.75">
      <c r="A389" s="243">
        <v>7</v>
      </c>
      <c r="B389" s="251">
        <f t="shared" si="43"/>
        <v>42149</v>
      </c>
      <c r="C389" s="228" t="s">
        <v>195</v>
      </c>
      <c r="D389" s="229" t="s">
        <v>57</v>
      </c>
      <c r="E389" s="230" t="s">
        <v>184</v>
      </c>
      <c r="F389" s="236">
        <v>75000</v>
      </c>
      <c r="G389" s="237" t="s">
        <v>206</v>
      </c>
      <c r="H389" s="241"/>
    </row>
    <row r="390" spans="1:8" ht="15.75">
      <c r="A390" s="243">
        <v>8</v>
      </c>
      <c r="B390" s="251">
        <f t="shared" si="43"/>
        <v>42149</v>
      </c>
      <c r="C390" s="228" t="s">
        <v>195</v>
      </c>
      <c r="D390" s="229"/>
      <c r="E390" s="239" t="s">
        <v>17</v>
      </c>
      <c r="F390" s="236"/>
      <c r="G390" s="237" t="s">
        <v>209</v>
      </c>
      <c r="H390" s="233"/>
    </row>
    <row r="391" spans="1:8" ht="15.75">
      <c r="A391" s="243">
        <v>9</v>
      </c>
      <c r="B391" s="251">
        <f t="shared" si="43"/>
        <v>42149</v>
      </c>
      <c r="C391" s="228" t="s">
        <v>195</v>
      </c>
      <c r="D391" s="229" t="s">
        <v>42</v>
      </c>
      <c r="E391" s="230" t="s">
        <v>364</v>
      </c>
      <c r="F391" s="236">
        <v>10568660.869565219</v>
      </c>
      <c r="G391" s="237" t="s">
        <v>209</v>
      </c>
      <c r="H391" s="226"/>
    </row>
    <row r="392" spans="1:8" ht="15.75">
      <c r="A392" s="243">
        <v>10</v>
      </c>
      <c r="B392" s="251">
        <f t="shared" si="43"/>
        <v>42149</v>
      </c>
      <c r="C392" s="228" t="s">
        <v>195</v>
      </c>
      <c r="D392" s="229" t="s">
        <v>2</v>
      </c>
      <c r="E392" s="230" t="s">
        <v>170</v>
      </c>
      <c r="F392" s="236">
        <v>1170000</v>
      </c>
      <c r="G392" s="237" t="s">
        <v>209</v>
      </c>
    </row>
    <row r="393" spans="1:8" ht="15.75">
      <c r="A393" s="243">
        <v>11</v>
      </c>
      <c r="B393" s="251">
        <f t="shared" si="43"/>
        <v>42149</v>
      </c>
      <c r="C393" s="228" t="s">
        <v>195</v>
      </c>
      <c r="D393" s="229" t="s">
        <v>2</v>
      </c>
      <c r="E393" s="230" t="s">
        <v>81</v>
      </c>
      <c r="F393" s="236">
        <v>207000</v>
      </c>
      <c r="G393" s="237" t="s">
        <v>209</v>
      </c>
      <c r="H393" s="226"/>
    </row>
    <row r="394" spans="1:8" ht="15.75">
      <c r="A394" s="243">
        <v>12</v>
      </c>
      <c r="B394" s="251">
        <f t="shared" si="43"/>
        <v>42149</v>
      </c>
      <c r="C394" s="228" t="s">
        <v>195</v>
      </c>
      <c r="D394" s="229" t="s">
        <v>57</v>
      </c>
      <c r="E394" s="230" t="s">
        <v>79</v>
      </c>
      <c r="F394" s="236">
        <v>200000</v>
      </c>
      <c r="G394" s="237" t="s">
        <v>209</v>
      </c>
    </row>
    <row r="395" spans="1:8" ht="15.75">
      <c r="A395" s="243">
        <v>13</v>
      </c>
      <c r="B395" s="251">
        <f t="shared" si="43"/>
        <v>42149</v>
      </c>
      <c r="C395" s="228" t="s">
        <v>195</v>
      </c>
      <c r="D395" s="229" t="s">
        <v>57</v>
      </c>
      <c r="E395" s="230" t="s">
        <v>188</v>
      </c>
      <c r="F395" s="236">
        <v>70000</v>
      </c>
      <c r="G395" s="237" t="s">
        <v>209</v>
      </c>
    </row>
    <row r="396" spans="1:8" ht="15.75">
      <c r="A396" s="243">
        <v>14</v>
      </c>
      <c r="B396" s="251">
        <f t="shared" si="43"/>
        <v>42149</v>
      </c>
      <c r="C396" s="228" t="s">
        <v>195</v>
      </c>
      <c r="D396" s="229" t="s">
        <v>3</v>
      </c>
      <c r="E396" s="230" t="s">
        <v>76</v>
      </c>
      <c r="F396" s="236">
        <v>300000</v>
      </c>
      <c r="G396" s="237" t="s">
        <v>209</v>
      </c>
    </row>
    <row r="397" spans="1:8" ht="15.75">
      <c r="A397" s="243">
        <v>15</v>
      </c>
      <c r="B397" s="251">
        <f t="shared" si="43"/>
        <v>42149</v>
      </c>
      <c r="C397" s="228" t="s">
        <v>195</v>
      </c>
      <c r="D397" s="229" t="s">
        <v>2</v>
      </c>
      <c r="E397" s="230" t="s">
        <v>357</v>
      </c>
      <c r="F397" s="236">
        <v>8613000</v>
      </c>
      <c r="G397" s="237" t="s">
        <v>209</v>
      </c>
    </row>
    <row r="398" spans="1:8" ht="15.75">
      <c r="A398" s="243">
        <v>16</v>
      </c>
      <c r="B398" s="251">
        <f t="shared" si="43"/>
        <v>42149</v>
      </c>
      <c r="C398" s="228" t="s">
        <v>195</v>
      </c>
      <c r="D398" s="229" t="s">
        <v>57</v>
      </c>
      <c r="E398" s="230" t="s">
        <v>184</v>
      </c>
      <c r="F398" s="236">
        <v>225000</v>
      </c>
      <c r="G398" s="237" t="s">
        <v>209</v>
      </c>
    </row>
    <row r="399" spans="1:8" ht="15.75">
      <c r="A399" s="243">
        <v>17</v>
      </c>
      <c r="B399" s="251">
        <f>B398</f>
        <v>42149</v>
      </c>
      <c r="C399" s="228" t="s">
        <v>195</v>
      </c>
      <c r="D399" s="229" t="s">
        <v>57</v>
      </c>
      <c r="E399" s="230" t="s">
        <v>313</v>
      </c>
      <c r="F399" s="236">
        <v>200000</v>
      </c>
      <c r="G399" s="237" t="str">
        <f>G398</f>
        <v>T. pilihan</v>
      </c>
    </row>
    <row r="400" spans="1:8" ht="15.75">
      <c r="A400" s="243">
        <v>18</v>
      </c>
      <c r="B400" s="251">
        <f>B399+1</f>
        <v>42150</v>
      </c>
      <c r="C400" s="228" t="s">
        <v>195</v>
      </c>
      <c r="D400" s="229"/>
      <c r="E400" s="239" t="s">
        <v>205</v>
      </c>
      <c r="F400" s="236"/>
      <c r="G400" s="237" t="s">
        <v>206</v>
      </c>
    </row>
    <row r="401" spans="1:8" ht="15.75">
      <c r="A401" s="243">
        <v>19</v>
      </c>
      <c r="B401" s="251">
        <f>B400</f>
        <v>42150</v>
      </c>
      <c r="C401" s="228" t="s">
        <v>195</v>
      </c>
      <c r="D401" s="229" t="s">
        <v>2</v>
      </c>
      <c r="E401" s="230" t="s">
        <v>60</v>
      </c>
      <c r="F401" s="236">
        <v>1350000</v>
      </c>
      <c r="G401" s="237" t="s">
        <v>206</v>
      </c>
    </row>
    <row r="402" spans="1:8" ht="15.75">
      <c r="A402" s="243">
        <v>20</v>
      </c>
      <c r="B402" s="251">
        <f t="shared" ref="B402:B415" si="44">B401</f>
        <v>42150</v>
      </c>
      <c r="C402" s="228" t="s">
        <v>195</v>
      </c>
      <c r="D402" s="229" t="s">
        <v>3</v>
      </c>
      <c r="E402" s="230" t="s">
        <v>79</v>
      </c>
      <c r="F402" s="236">
        <v>200000</v>
      </c>
      <c r="G402" s="237" t="s">
        <v>206</v>
      </c>
      <c r="H402" s="226"/>
    </row>
    <row r="403" spans="1:8" ht="15.75">
      <c r="A403" s="243">
        <v>21</v>
      </c>
      <c r="B403" s="251">
        <f t="shared" si="44"/>
        <v>42150</v>
      </c>
      <c r="C403" s="228" t="s">
        <v>195</v>
      </c>
      <c r="D403" s="229" t="s">
        <v>3</v>
      </c>
      <c r="E403" s="230" t="s">
        <v>76</v>
      </c>
      <c r="F403" s="236">
        <v>300000</v>
      </c>
      <c r="G403" s="237" t="s">
        <v>206</v>
      </c>
    </row>
    <row r="404" spans="1:8" ht="15.75">
      <c r="A404" s="243">
        <v>22</v>
      </c>
      <c r="B404" s="251">
        <f t="shared" si="44"/>
        <v>42150</v>
      </c>
      <c r="C404" s="228" t="s">
        <v>195</v>
      </c>
      <c r="D404" s="229" t="s">
        <v>2</v>
      </c>
      <c r="E404" s="230" t="s">
        <v>174</v>
      </c>
      <c r="F404" s="236">
        <v>315000</v>
      </c>
      <c r="G404" s="237" t="s">
        <v>206</v>
      </c>
      <c r="H404" s="226"/>
    </row>
    <row r="405" spans="1:8" ht="25.5">
      <c r="A405" s="243">
        <v>23</v>
      </c>
      <c r="B405" s="251">
        <f t="shared" si="44"/>
        <v>42150</v>
      </c>
      <c r="C405" s="228" t="s">
        <v>195</v>
      </c>
      <c r="D405" s="229" t="s">
        <v>57</v>
      </c>
      <c r="E405" s="230" t="s">
        <v>187</v>
      </c>
      <c r="F405" s="236">
        <v>105000</v>
      </c>
      <c r="G405" s="237" t="s">
        <v>206</v>
      </c>
    </row>
    <row r="406" spans="1:8" ht="15.75">
      <c r="A406" s="243">
        <v>24</v>
      </c>
      <c r="B406" s="251">
        <f t="shared" si="44"/>
        <v>42150</v>
      </c>
      <c r="C406" s="228" t="s">
        <v>195</v>
      </c>
      <c r="D406" s="229" t="s">
        <v>57</v>
      </c>
      <c r="E406" s="230" t="s">
        <v>184</v>
      </c>
      <c r="F406" s="236">
        <v>75000</v>
      </c>
      <c r="G406" s="237" t="s">
        <v>206</v>
      </c>
      <c r="H406" s="241"/>
    </row>
    <row r="407" spans="1:8" ht="15.75">
      <c r="A407" s="243">
        <v>25</v>
      </c>
      <c r="B407" s="251">
        <f t="shared" si="44"/>
        <v>42150</v>
      </c>
      <c r="C407" s="228" t="s">
        <v>195</v>
      </c>
      <c r="D407" s="229"/>
      <c r="E407" s="239" t="s">
        <v>17</v>
      </c>
      <c r="F407" s="236"/>
      <c r="G407" s="237" t="s">
        <v>209</v>
      </c>
    </row>
    <row r="408" spans="1:8" ht="15.75">
      <c r="A408" s="243">
        <v>26</v>
      </c>
      <c r="B408" s="251">
        <f t="shared" si="44"/>
        <v>42150</v>
      </c>
      <c r="C408" s="228" t="s">
        <v>195</v>
      </c>
      <c r="D408" s="229" t="s">
        <v>42</v>
      </c>
      <c r="E408" s="230" t="s">
        <v>364</v>
      </c>
      <c r="F408" s="236">
        <v>10568660.869565219</v>
      </c>
      <c r="G408" s="237" t="s">
        <v>209</v>
      </c>
    </row>
    <row r="409" spans="1:8" ht="15.75">
      <c r="A409" s="243">
        <v>27</v>
      </c>
      <c r="B409" s="251">
        <f t="shared" si="44"/>
        <v>42150</v>
      </c>
      <c r="C409" s="228" t="s">
        <v>195</v>
      </c>
      <c r="D409" s="229" t="s">
        <v>2</v>
      </c>
      <c r="E409" s="230" t="s">
        <v>170</v>
      </c>
      <c r="F409" s="236">
        <v>1170000</v>
      </c>
      <c r="G409" s="237" t="s">
        <v>209</v>
      </c>
    </row>
    <row r="410" spans="1:8" ht="15.75">
      <c r="A410" s="243">
        <v>28</v>
      </c>
      <c r="B410" s="251">
        <f t="shared" si="44"/>
        <v>42150</v>
      </c>
      <c r="C410" s="228" t="s">
        <v>195</v>
      </c>
      <c r="D410" s="229" t="s">
        <v>2</v>
      </c>
      <c r="E410" s="230" t="s">
        <v>81</v>
      </c>
      <c r="F410" s="236">
        <v>207000</v>
      </c>
      <c r="G410" s="237" t="s">
        <v>209</v>
      </c>
    </row>
    <row r="411" spans="1:8" ht="15.75">
      <c r="A411" s="243">
        <v>29</v>
      </c>
      <c r="B411" s="251">
        <f t="shared" si="44"/>
        <v>42150</v>
      </c>
      <c r="C411" s="228" t="s">
        <v>195</v>
      </c>
      <c r="D411" s="229" t="s">
        <v>57</v>
      </c>
      <c r="E411" s="230" t="s">
        <v>79</v>
      </c>
      <c r="F411" s="236">
        <v>200000</v>
      </c>
      <c r="G411" s="237" t="s">
        <v>209</v>
      </c>
    </row>
    <row r="412" spans="1:8" ht="15.75">
      <c r="A412" s="243">
        <v>30</v>
      </c>
      <c r="B412" s="251">
        <f t="shared" si="44"/>
        <v>42150</v>
      </c>
      <c r="C412" s="228" t="s">
        <v>195</v>
      </c>
      <c r="D412" s="229" t="s">
        <v>57</v>
      </c>
      <c r="E412" s="230" t="s">
        <v>188</v>
      </c>
      <c r="F412" s="236">
        <v>70000</v>
      </c>
      <c r="G412" s="237" t="s">
        <v>209</v>
      </c>
      <c r="H412" s="238"/>
    </row>
    <row r="413" spans="1:8" ht="15.75">
      <c r="A413" s="243">
        <v>31</v>
      </c>
      <c r="B413" s="251">
        <f t="shared" si="44"/>
        <v>42150</v>
      </c>
      <c r="C413" s="228" t="s">
        <v>195</v>
      </c>
      <c r="D413" s="229" t="s">
        <v>3</v>
      </c>
      <c r="E413" s="230" t="s">
        <v>76</v>
      </c>
      <c r="F413" s="236">
        <v>300000</v>
      </c>
      <c r="G413" s="237" t="s">
        <v>209</v>
      </c>
    </row>
    <row r="414" spans="1:8" ht="15.75">
      <c r="A414" s="243">
        <v>32</v>
      </c>
      <c r="B414" s="251">
        <f t="shared" si="44"/>
        <v>42150</v>
      </c>
      <c r="C414" s="228" t="s">
        <v>195</v>
      </c>
      <c r="D414" s="229" t="s">
        <v>2</v>
      </c>
      <c r="E414" s="230" t="s">
        <v>357</v>
      </c>
      <c r="F414" s="236">
        <v>8613000</v>
      </c>
      <c r="G414" s="237" t="s">
        <v>209</v>
      </c>
    </row>
    <row r="415" spans="1:8" ht="15.75">
      <c r="A415" s="243">
        <v>33</v>
      </c>
      <c r="B415" s="251">
        <f t="shared" si="44"/>
        <v>42150</v>
      </c>
      <c r="C415" s="228" t="s">
        <v>195</v>
      </c>
      <c r="D415" s="229" t="s">
        <v>57</v>
      </c>
      <c r="E415" s="230" t="s">
        <v>184</v>
      </c>
      <c r="F415" s="236">
        <v>225000</v>
      </c>
      <c r="G415" s="237" t="s">
        <v>209</v>
      </c>
    </row>
    <row r="416" spans="1:8" ht="15.75">
      <c r="A416" s="243">
        <v>34</v>
      </c>
      <c r="B416" s="251">
        <f>B415</f>
        <v>42150</v>
      </c>
      <c r="C416" s="228" t="s">
        <v>195</v>
      </c>
      <c r="D416" s="229" t="s">
        <v>57</v>
      </c>
      <c r="E416" s="230" t="s">
        <v>313</v>
      </c>
      <c r="F416" s="236">
        <v>200000</v>
      </c>
      <c r="G416" s="237" t="str">
        <f>G415</f>
        <v>T. pilihan</v>
      </c>
    </row>
    <row r="417" spans="1:8" ht="15.75">
      <c r="A417" s="243">
        <v>35</v>
      </c>
      <c r="B417" s="251">
        <f>B416+1</f>
        <v>42151</v>
      </c>
      <c r="C417" s="228" t="s">
        <v>195</v>
      </c>
      <c r="D417" s="229"/>
      <c r="E417" s="239" t="s">
        <v>205</v>
      </c>
      <c r="F417" s="236"/>
      <c r="G417" s="237" t="s">
        <v>206</v>
      </c>
    </row>
    <row r="418" spans="1:8" ht="15.75">
      <c r="A418" s="243">
        <v>36</v>
      </c>
      <c r="B418" s="251">
        <f>B417</f>
        <v>42151</v>
      </c>
      <c r="C418" s="228" t="s">
        <v>195</v>
      </c>
      <c r="D418" s="229" t="s">
        <v>2</v>
      </c>
      <c r="E418" s="230" t="s">
        <v>60</v>
      </c>
      <c r="F418" s="236">
        <v>1350000</v>
      </c>
      <c r="G418" s="237" t="s">
        <v>206</v>
      </c>
    </row>
    <row r="419" spans="1:8" ht="15.75">
      <c r="A419" s="243">
        <v>37</v>
      </c>
      <c r="B419" s="251">
        <f t="shared" ref="B419:B432" si="45">B418</f>
        <v>42151</v>
      </c>
      <c r="C419" s="228" t="s">
        <v>195</v>
      </c>
      <c r="D419" s="229" t="s">
        <v>3</v>
      </c>
      <c r="E419" s="230" t="s">
        <v>79</v>
      </c>
      <c r="F419" s="236">
        <v>200000</v>
      </c>
      <c r="G419" s="237" t="s">
        <v>206</v>
      </c>
      <c r="H419" s="241"/>
    </row>
    <row r="420" spans="1:8" ht="15.75">
      <c r="A420" s="243">
        <v>38</v>
      </c>
      <c r="B420" s="251">
        <f t="shared" si="45"/>
        <v>42151</v>
      </c>
      <c r="C420" s="228" t="s">
        <v>195</v>
      </c>
      <c r="D420" s="229" t="s">
        <v>3</v>
      </c>
      <c r="E420" s="230" t="s">
        <v>76</v>
      </c>
      <c r="F420" s="236">
        <v>300000</v>
      </c>
      <c r="G420" s="237" t="s">
        <v>206</v>
      </c>
      <c r="H420" s="241"/>
    </row>
    <row r="421" spans="1:8" ht="15.75">
      <c r="A421" s="243">
        <v>39</v>
      </c>
      <c r="B421" s="251">
        <f t="shared" si="45"/>
        <v>42151</v>
      </c>
      <c r="C421" s="228" t="s">
        <v>195</v>
      </c>
      <c r="D421" s="229" t="s">
        <v>2</v>
      </c>
      <c r="E421" s="230" t="s">
        <v>174</v>
      </c>
      <c r="F421" s="236">
        <v>315000</v>
      </c>
      <c r="G421" s="237" t="s">
        <v>206</v>
      </c>
      <c r="H421" s="233"/>
    </row>
    <row r="422" spans="1:8" ht="25.5">
      <c r="A422" s="243">
        <v>40</v>
      </c>
      <c r="B422" s="251">
        <f t="shared" si="45"/>
        <v>42151</v>
      </c>
      <c r="C422" s="228" t="s">
        <v>195</v>
      </c>
      <c r="D422" s="229" t="s">
        <v>57</v>
      </c>
      <c r="E422" s="230" t="s">
        <v>187</v>
      </c>
      <c r="F422" s="236">
        <v>105000</v>
      </c>
      <c r="G422" s="237" t="s">
        <v>206</v>
      </c>
    </row>
    <row r="423" spans="1:8" ht="15.75">
      <c r="A423" s="243">
        <v>41</v>
      </c>
      <c r="B423" s="251">
        <f t="shared" si="45"/>
        <v>42151</v>
      </c>
      <c r="C423" s="228" t="s">
        <v>195</v>
      </c>
      <c r="D423" s="229" t="s">
        <v>57</v>
      </c>
      <c r="E423" s="230" t="s">
        <v>184</v>
      </c>
      <c r="F423" s="236">
        <v>75000</v>
      </c>
      <c r="G423" s="237" t="s">
        <v>206</v>
      </c>
      <c r="H423" s="226"/>
    </row>
    <row r="424" spans="1:8" ht="15.75">
      <c r="A424" s="243">
        <v>42</v>
      </c>
      <c r="B424" s="251">
        <f t="shared" si="45"/>
        <v>42151</v>
      </c>
      <c r="C424" s="228" t="s">
        <v>195</v>
      </c>
      <c r="D424" s="229"/>
      <c r="E424" s="239" t="s">
        <v>17</v>
      </c>
      <c r="F424" s="236"/>
      <c r="G424" s="237" t="s">
        <v>209</v>
      </c>
    </row>
    <row r="425" spans="1:8" ht="15.75">
      <c r="A425" s="243">
        <v>43</v>
      </c>
      <c r="B425" s="251">
        <f t="shared" si="45"/>
        <v>42151</v>
      </c>
      <c r="C425" s="228" t="s">
        <v>195</v>
      </c>
      <c r="D425" s="229" t="s">
        <v>42</v>
      </c>
      <c r="E425" s="230" t="s">
        <v>364</v>
      </c>
      <c r="F425" s="236">
        <v>10568660.869565219</v>
      </c>
      <c r="G425" s="237" t="s">
        <v>209</v>
      </c>
    </row>
    <row r="426" spans="1:8" ht="15.75">
      <c r="A426" s="243">
        <v>44</v>
      </c>
      <c r="B426" s="251">
        <f t="shared" si="45"/>
        <v>42151</v>
      </c>
      <c r="C426" s="228" t="s">
        <v>195</v>
      </c>
      <c r="D426" s="229" t="s">
        <v>2</v>
      </c>
      <c r="E426" s="230" t="s">
        <v>170</v>
      </c>
      <c r="F426" s="236">
        <v>1170000</v>
      </c>
      <c r="G426" s="237" t="s">
        <v>209</v>
      </c>
    </row>
    <row r="427" spans="1:8" ht="15.75">
      <c r="A427" s="243">
        <v>45</v>
      </c>
      <c r="B427" s="251">
        <f t="shared" si="45"/>
        <v>42151</v>
      </c>
      <c r="C427" s="228" t="s">
        <v>195</v>
      </c>
      <c r="D427" s="229" t="s">
        <v>2</v>
      </c>
      <c r="E427" s="230" t="s">
        <v>81</v>
      </c>
      <c r="F427" s="236">
        <v>207000</v>
      </c>
      <c r="G427" s="237" t="s">
        <v>209</v>
      </c>
    </row>
    <row r="428" spans="1:8" ht="15.75">
      <c r="A428" s="243">
        <v>46</v>
      </c>
      <c r="B428" s="251">
        <f t="shared" si="45"/>
        <v>42151</v>
      </c>
      <c r="C428" s="228" t="s">
        <v>195</v>
      </c>
      <c r="D428" s="229" t="s">
        <v>57</v>
      </c>
      <c r="E428" s="230" t="s">
        <v>79</v>
      </c>
      <c r="F428" s="236">
        <v>200000</v>
      </c>
      <c r="G428" s="237" t="s">
        <v>209</v>
      </c>
    </row>
    <row r="429" spans="1:8" ht="15.75">
      <c r="A429" s="243">
        <v>47</v>
      </c>
      <c r="B429" s="251">
        <f t="shared" si="45"/>
        <v>42151</v>
      </c>
      <c r="C429" s="228" t="s">
        <v>195</v>
      </c>
      <c r="D429" s="229" t="s">
        <v>57</v>
      </c>
      <c r="E429" s="230" t="s">
        <v>188</v>
      </c>
      <c r="F429" s="236">
        <v>70000</v>
      </c>
      <c r="G429" s="237" t="s">
        <v>209</v>
      </c>
    </row>
    <row r="430" spans="1:8" ht="15.75">
      <c r="A430" s="243">
        <v>48</v>
      </c>
      <c r="B430" s="251">
        <f t="shared" si="45"/>
        <v>42151</v>
      </c>
      <c r="C430" s="228" t="s">
        <v>195</v>
      </c>
      <c r="D430" s="229" t="s">
        <v>3</v>
      </c>
      <c r="E430" s="230" t="s">
        <v>76</v>
      </c>
      <c r="F430" s="236">
        <v>300000</v>
      </c>
      <c r="G430" s="237" t="s">
        <v>209</v>
      </c>
    </row>
    <row r="431" spans="1:8" ht="15.75">
      <c r="A431" s="243">
        <v>49</v>
      </c>
      <c r="B431" s="251">
        <f t="shared" si="45"/>
        <v>42151</v>
      </c>
      <c r="C431" s="228" t="s">
        <v>195</v>
      </c>
      <c r="D431" s="229" t="s">
        <v>2</v>
      </c>
      <c r="E431" s="230" t="s">
        <v>357</v>
      </c>
      <c r="F431" s="236">
        <v>8613000</v>
      </c>
      <c r="G431" s="237" t="s">
        <v>209</v>
      </c>
    </row>
    <row r="432" spans="1:8" ht="15.75">
      <c r="A432" s="243">
        <v>50</v>
      </c>
      <c r="B432" s="251">
        <f t="shared" si="45"/>
        <v>42151</v>
      </c>
      <c r="C432" s="228" t="s">
        <v>195</v>
      </c>
      <c r="D432" s="229" t="s">
        <v>57</v>
      </c>
      <c r="E432" s="230" t="s">
        <v>184</v>
      </c>
      <c r="F432" s="236">
        <v>225000</v>
      </c>
      <c r="G432" s="237" t="s">
        <v>209</v>
      </c>
    </row>
    <row r="433" spans="1:8" ht="15.75">
      <c r="A433" s="243">
        <v>51</v>
      </c>
      <c r="B433" s="251">
        <f>B432</f>
        <v>42151</v>
      </c>
      <c r="C433" s="228" t="s">
        <v>195</v>
      </c>
      <c r="D433" s="229" t="s">
        <v>57</v>
      </c>
      <c r="E433" s="230" t="s">
        <v>313</v>
      </c>
      <c r="F433" s="236">
        <v>200000</v>
      </c>
      <c r="G433" s="237" t="str">
        <f>G432</f>
        <v>T. pilihan</v>
      </c>
    </row>
    <row r="434" spans="1:8" ht="15.75">
      <c r="A434" s="243">
        <v>52</v>
      </c>
      <c r="B434" s="251">
        <f>B433+1</f>
        <v>42152</v>
      </c>
      <c r="C434" s="228" t="s">
        <v>195</v>
      </c>
      <c r="D434" s="229"/>
      <c r="E434" s="239" t="s">
        <v>205</v>
      </c>
      <c r="F434" s="236"/>
      <c r="G434" s="237" t="s">
        <v>206</v>
      </c>
    </row>
    <row r="435" spans="1:8" ht="15.75">
      <c r="A435" s="243">
        <v>53</v>
      </c>
      <c r="B435" s="251">
        <f>B434</f>
        <v>42152</v>
      </c>
      <c r="C435" s="228" t="s">
        <v>195</v>
      </c>
      <c r="D435" s="229" t="s">
        <v>2</v>
      </c>
      <c r="E435" s="230" t="s">
        <v>60</v>
      </c>
      <c r="F435" s="236">
        <v>1350000</v>
      </c>
      <c r="G435" s="237" t="s">
        <v>206</v>
      </c>
    </row>
    <row r="436" spans="1:8" ht="15.75">
      <c r="A436" s="243">
        <v>54</v>
      </c>
      <c r="B436" s="251">
        <f t="shared" ref="B436:B449" si="46">B435</f>
        <v>42152</v>
      </c>
      <c r="C436" s="228" t="s">
        <v>195</v>
      </c>
      <c r="D436" s="229" t="s">
        <v>3</v>
      </c>
      <c r="E436" s="230" t="s">
        <v>79</v>
      </c>
      <c r="F436" s="236">
        <v>200000</v>
      </c>
      <c r="G436" s="237" t="s">
        <v>206</v>
      </c>
      <c r="H436" s="241"/>
    </row>
    <row r="437" spans="1:8" ht="15.75">
      <c r="A437" s="243">
        <v>55</v>
      </c>
      <c r="B437" s="251">
        <f t="shared" si="46"/>
        <v>42152</v>
      </c>
      <c r="C437" s="228" t="s">
        <v>195</v>
      </c>
      <c r="D437" s="229" t="s">
        <v>3</v>
      </c>
      <c r="E437" s="230" t="s">
        <v>76</v>
      </c>
      <c r="F437" s="236">
        <v>300000</v>
      </c>
      <c r="G437" s="237" t="s">
        <v>206</v>
      </c>
    </row>
    <row r="438" spans="1:8" ht="15.75">
      <c r="A438" s="243">
        <v>56</v>
      </c>
      <c r="B438" s="251">
        <f t="shared" si="46"/>
        <v>42152</v>
      </c>
      <c r="C438" s="228" t="s">
        <v>195</v>
      </c>
      <c r="D438" s="229" t="s">
        <v>2</v>
      </c>
      <c r="E438" s="230" t="s">
        <v>174</v>
      </c>
      <c r="F438" s="236">
        <v>315000</v>
      </c>
      <c r="G438" s="237" t="s">
        <v>206</v>
      </c>
    </row>
    <row r="439" spans="1:8" ht="25.5">
      <c r="A439" s="243">
        <v>57</v>
      </c>
      <c r="B439" s="251">
        <f t="shared" si="46"/>
        <v>42152</v>
      </c>
      <c r="C439" s="228" t="s">
        <v>195</v>
      </c>
      <c r="D439" s="229" t="s">
        <v>57</v>
      </c>
      <c r="E439" s="230" t="s">
        <v>187</v>
      </c>
      <c r="F439" s="236">
        <v>105000</v>
      </c>
      <c r="G439" s="237" t="s">
        <v>206</v>
      </c>
    </row>
    <row r="440" spans="1:8" ht="15.75">
      <c r="A440" s="243">
        <v>58</v>
      </c>
      <c r="B440" s="251">
        <f t="shared" si="46"/>
        <v>42152</v>
      </c>
      <c r="C440" s="228" t="s">
        <v>195</v>
      </c>
      <c r="D440" s="229" t="s">
        <v>57</v>
      </c>
      <c r="E440" s="230" t="s">
        <v>184</v>
      </c>
      <c r="F440" s="236">
        <v>75000</v>
      </c>
      <c r="G440" s="237" t="s">
        <v>206</v>
      </c>
    </row>
    <row r="441" spans="1:8" ht="15.75">
      <c r="A441" s="243">
        <v>59</v>
      </c>
      <c r="B441" s="251">
        <f t="shared" si="46"/>
        <v>42152</v>
      </c>
      <c r="C441" s="228" t="s">
        <v>195</v>
      </c>
      <c r="D441" s="229"/>
      <c r="E441" s="239" t="s">
        <v>17</v>
      </c>
      <c r="F441" s="236"/>
      <c r="G441" s="237" t="s">
        <v>209</v>
      </c>
    </row>
    <row r="442" spans="1:8" ht="15.75">
      <c r="A442" s="243">
        <v>60</v>
      </c>
      <c r="B442" s="251">
        <f t="shared" si="46"/>
        <v>42152</v>
      </c>
      <c r="C442" s="228" t="s">
        <v>195</v>
      </c>
      <c r="D442" s="229" t="s">
        <v>42</v>
      </c>
      <c r="E442" s="230" t="s">
        <v>364</v>
      </c>
      <c r="F442" s="236">
        <v>10568660.869565219</v>
      </c>
      <c r="G442" s="237" t="s">
        <v>209</v>
      </c>
      <c r="H442" s="238"/>
    </row>
    <row r="443" spans="1:8" ht="15.75">
      <c r="A443" s="243">
        <v>61</v>
      </c>
      <c r="B443" s="251">
        <f t="shared" si="46"/>
        <v>42152</v>
      </c>
      <c r="C443" s="228" t="s">
        <v>195</v>
      </c>
      <c r="D443" s="229" t="s">
        <v>2</v>
      </c>
      <c r="E443" s="230" t="s">
        <v>170</v>
      </c>
      <c r="F443" s="236">
        <v>1170000</v>
      </c>
      <c r="G443" s="237" t="s">
        <v>209</v>
      </c>
    </row>
    <row r="444" spans="1:8" ht="15.75">
      <c r="A444" s="243">
        <v>62</v>
      </c>
      <c r="B444" s="251">
        <f t="shared" si="46"/>
        <v>42152</v>
      </c>
      <c r="C444" s="228" t="s">
        <v>195</v>
      </c>
      <c r="D444" s="229" t="s">
        <v>2</v>
      </c>
      <c r="E444" s="230" t="s">
        <v>81</v>
      </c>
      <c r="F444" s="236">
        <v>207000</v>
      </c>
      <c r="G444" s="237" t="s">
        <v>209</v>
      </c>
    </row>
    <row r="445" spans="1:8" ht="15.75">
      <c r="A445" s="243">
        <v>63</v>
      </c>
      <c r="B445" s="251">
        <f t="shared" si="46"/>
        <v>42152</v>
      </c>
      <c r="C445" s="228" t="s">
        <v>195</v>
      </c>
      <c r="D445" s="229" t="s">
        <v>57</v>
      </c>
      <c r="E445" s="230" t="s">
        <v>79</v>
      </c>
      <c r="F445" s="236">
        <v>200000</v>
      </c>
      <c r="G445" s="237" t="s">
        <v>209</v>
      </c>
    </row>
    <row r="446" spans="1:8" ht="15.75">
      <c r="A446" s="243">
        <v>64</v>
      </c>
      <c r="B446" s="251">
        <f t="shared" si="46"/>
        <v>42152</v>
      </c>
      <c r="C446" s="228" t="s">
        <v>195</v>
      </c>
      <c r="D446" s="229" t="s">
        <v>57</v>
      </c>
      <c r="E446" s="230" t="s">
        <v>188</v>
      </c>
      <c r="F446" s="236">
        <v>70000</v>
      </c>
      <c r="G446" s="237" t="s">
        <v>209</v>
      </c>
    </row>
    <row r="447" spans="1:8" ht="15.75">
      <c r="A447" s="243">
        <v>65</v>
      </c>
      <c r="B447" s="251">
        <f t="shared" si="46"/>
        <v>42152</v>
      </c>
      <c r="C447" s="228" t="s">
        <v>195</v>
      </c>
      <c r="D447" s="229" t="s">
        <v>3</v>
      </c>
      <c r="E447" s="230" t="s">
        <v>76</v>
      </c>
      <c r="F447" s="236">
        <v>300000</v>
      </c>
      <c r="G447" s="237" t="s">
        <v>209</v>
      </c>
    </row>
    <row r="448" spans="1:8" ht="15.75">
      <c r="A448" s="243">
        <v>66</v>
      </c>
      <c r="B448" s="251">
        <f t="shared" si="46"/>
        <v>42152</v>
      </c>
      <c r="C448" s="228" t="s">
        <v>195</v>
      </c>
      <c r="D448" s="229" t="s">
        <v>2</v>
      </c>
      <c r="E448" s="230" t="s">
        <v>357</v>
      </c>
      <c r="F448" s="236">
        <v>8613000</v>
      </c>
      <c r="G448" s="237" t="s">
        <v>209</v>
      </c>
    </row>
    <row r="449" spans="1:8" ht="15.75">
      <c r="A449" s="243">
        <v>67</v>
      </c>
      <c r="B449" s="251">
        <f t="shared" si="46"/>
        <v>42152</v>
      </c>
      <c r="C449" s="228" t="s">
        <v>195</v>
      </c>
      <c r="D449" s="229" t="s">
        <v>57</v>
      </c>
      <c r="E449" s="230" t="s">
        <v>184</v>
      </c>
      <c r="F449" s="236">
        <v>225000</v>
      </c>
      <c r="G449" s="237" t="s">
        <v>209</v>
      </c>
      <c r="H449" s="241"/>
    </row>
    <row r="450" spans="1:8" ht="15.75">
      <c r="A450" s="243">
        <v>68</v>
      </c>
      <c r="B450" s="251">
        <f>B449</f>
        <v>42152</v>
      </c>
      <c r="C450" s="228" t="s">
        <v>195</v>
      </c>
      <c r="D450" s="229" t="s">
        <v>57</v>
      </c>
      <c r="E450" s="230" t="s">
        <v>313</v>
      </c>
      <c r="F450" s="236">
        <v>200000</v>
      </c>
      <c r="G450" s="237" t="str">
        <f>G449</f>
        <v>T. pilihan</v>
      </c>
      <c r="H450" s="241"/>
    </row>
    <row r="451" spans="1:8" ht="15.75">
      <c r="A451" s="243">
        <v>69</v>
      </c>
      <c r="B451" s="251">
        <f>B450+1</f>
        <v>42153</v>
      </c>
      <c r="C451" s="228" t="s">
        <v>195</v>
      </c>
      <c r="D451" s="229"/>
      <c r="E451" s="239" t="s">
        <v>205</v>
      </c>
      <c r="F451" s="236"/>
      <c r="G451" s="237" t="s">
        <v>206</v>
      </c>
      <c r="H451" s="233"/>
    </row>
    <row r="452" spans="1:8" ht="15.75">
      <c r="A452" s="243">
        <v>70</v>
      </c>
      <c r="B452" s="251">
        <f>B451</f>
        <v>42153</v>
      </c>
      <c r="C452" s="228" t="s">
        <v>195</v>
      </c>
      <c r="D452" s="229" t="s">
        <v>2</v>
      </c>
      <c r="E452" s="230" t="s">
        <v>60</v>
      </c>
      <c r="F452" s="236">
        <v>1350000</v>
      </c>
      <c r="G452" s="237" t="s">
        <v>206</v>
      </c>
    </row>
    <row r="453" spans="1:8" ht="15.75">
      <c r="A453" s="243">
        <v>71</v>
      </c>
      <c r="B453" s="251">
        <f t="shared" ref="B453:B466" si="47">B452</f>
        <v>42153</v>
      </c>
      <c r="C453" s="228" t="s">
        <v>195</v>
      </c>
      <c r="D453" s="229" t="s">
        <v>3</v>
      </c>
      <c r="E453" s="230" t="s">
        <v>79</v>
      </c>
      <c r="F453" s="236">
        <v>200000</v>
      </c>
      <c r="G453" s="237" t="s">
        <v>206</v>
      </c>
      <c r="H453" s="226"/>
    </row>
    <row r="454" spans="1:8" ht="15.75">
      <c r="A454" s="243">
        <v>72</v>
      </c>
      <c r="B454" s="251">
        <f t="shared" si="47"/>
        <v>42153</v>
      </c>
      <c r="C454" s="228" t="s">
        <v>195</v>
      </c>
      <c r="D454" s="229" t="s">
        <v>3</v>
      </c>
      <c r="E454" s="230" t="s">
        <v>76</v>
      </c>
      <c r="F454" s="236">
        <v>300000</v>
      </c>
      <c r="G454" s="237" t="s">
        <v>206</v>
      </c>
    </row>
    <row r="455" spans="1:8" ht="15.75">
      <c r="A455" s="243">
        <v>73</v>
      </c>
      <c r="B455" s="251">
        <f t="shared" si="47"/>
        <v>42153</v>
      </c>
      <c r="C455" s="228" t="s">
        <v>195</v>
      </c>
      <c r="D455" s="229" t="s">
        <v>2</v>
      </c>
      <c r="E455" s="230" t="s">
        <v>174</v>
      </c>
      <c r="F455" s="236">
        <v>315000</v>
      </c>
      <c r="G455" s="237" t="s">
        <v>206</v>
      </c>
    </row>
    <row r="456" spans="1:8" ht="25.5">
      <c r="A456" s="243">
        <v>74</v>
      </c>
      <c r="B456" s="251">
        <f t="shared" si="47"/>
        <v>42153</v>
      </c>
      <c r="C456" s="228" t="s">
        <v>195</v>
      </c>
      <c r="D456" s="229" t="s">
        <v>57</v>
      </c>
      <c r="E456" s="230" t="s">
        <v>187</v>
      </c>
      <c r="F456" s="236">
        <v>105000</v>
      </c>
      <c r="G456" s="237" t="s">
        <v>206</v>
      </c>
    </row>
    <row r="457" spans="1:8" ht="15.75">
      <c r="A457" s="243">
        <v>75</v>
      </c>
      <c r="B457" s="251">
        <f t="shared" si="47"/>
        <v>42153</v>
      </c>
      <c r="C457" s="228" t="s">
        <v>195</v>
      </c>
      <c r="D457" s="229" t="s">
        <v>57</v>
      </c>
      <c r="E457" s="230" t="s">
        <v>184</v>
      </c>
      <c r="F457" s="236">
        <v>75000</v>
      </c>
      <c r="G457" s="237" t="s">
        <v>206</v>
      </c>
    </row>
    <row r="458" spans="1:8" ht="15.75">
      <c r="A458" s="243">
        <v>76</v>
      </c>
      <c r="B458" s="251">
        <f t="shared" si="47"/>
        <v>42153</v>
      </c>
      <c r="C458" s="228" t="s">
        <v>195</v>
      </c>
      <c r="D458" s="229"/>
      <c r="E458" s="239" t="s">
        <v>17</v>
      </c>
      <c r="F458" s="236"/>
      <c r="G458" s="237" t="s">
        <v>209</v>
      </c>
    </row>
    <row r="459" spans="1:8" ht="15.75">
      <c r="A459" s="243">
        <v>77</v>
      </c>
      <c r="B459" s="251">
        <f t="shared" si="47"/>
        <v>42153</v>
      </c>
      <c r="C459" s="228" t="s">
        <v>195</v>
      </c>
      <c r="D459" s="229" t="s">
        <v>42</v>
      </c>
      <c r="E459" s="230" t="s">
        <v>364</v>
      </c>
      <c r="F459" s="236">
        <v>10568660.869565219</v>
      </c>
      <c r="G459" s="237" t="s">
        <v>209</v>
      </c>
    </row>
    <row r="460" spans="1:8" ht="15.75">
      <c r="A460" s="243">
        <v>78</v>
      </c>
      <c r="B460" s="251">
        <f t="shared" si="47"/>
        <v>42153</v>
      </c>
      <c r="C460" s="228" t="s">
        <v>195</v>
      </c>
      <c r="D460" s="229" t="s">
        <v>2</v>
      </c>
      <c r="E460" s="230" t="s">
        <v>170</v>
      </c>
      <c r="F460" s="236">
        <v>1170000</v>
      </c>
      <c r="G460" s="237" t="s">
        <v>209</v>
      </c>
    </row>
    <row r="461" spans="1:8" ht="15.75">
      <c r="A461" s="243">
        <v>79</v>
      </c>
      <c r="B461" s="251">
        <f t="shared" si="47"/>
        <v>42153</v>
      </c>
      <c r="C461" s="228" t="s">
        <v>195</v>
      </c>
      <c r="D461" s="229" t="s">
        <v>2</v>
      </c>
      <c r="E461" s="230" t="s">
        <v>81</v>
      </c>
      <c r="F461" s="236">
        <v>207000</v>
      </c>
      <c r="G461" s="237" t="s">
        <v>209</v>
      </c>
    </row>
    <row r="462" spans="1:8" ht="15.75">
      <c r="A462" s="243">
        <v>80</v>
      </c>
      <c r="B462" s="251">
        <f t="shared" si="47"/>
        <v>42153</v>
      </c>
      <c r="C462" s="228" t="s">
        <v>195</v>
      </c>
      <c r="D462" s="229" t="s">
        <v>57</v>
      </c>
      <c r="E462" s="230" t="s">
        <v>79</v>
      </c>
      <c r="F462" s="236">
        <v>200000</v>
      </c>
      <c r="G462" s="237" t="s">
        <v>209</v>
      </c>
    </row>
    <row r="463" spans="1:8" ht="15.75">
      <c r="A463" s="243">
        <v>81</v>
      </c>
      <c r="B463" s="251">
        <f t="shared" si="47"/>
        <v>42153</v>
      </c>
      <c r="C463" s="228" t="s">
        <v>195</v>
      </c>
      <c r="D463" s="229" t="s">
        <v>57</v>
      </c>
      <c r="E463" s="230" t="s">
        <v>188</v>
      </c>
      <c r="F463" s="236">
        <v>70000</v>
      </c>
      <c r="G463" s="237" t="s">
        <v>209</v>
      </c>
    </row>
    <row r="464" spans="1:8" ht="15.75">
      <c r="A464" s="243">
        <v>82</v>
      </c>
      <c r="B464" s="251">
        <f t="shared" si="47"/>
        <v>42153</v>
      </c>
      <c r="C464" s="228" t="s">
        <v>195</v>
      </c>
      <c r="D464" s="229" t="s">
        <v>3</v>
      </c>
      <c r="E464" s="230" t="s">
        <v>76</v>
      </c>
      <c r="F464" s="236">
        <v>300000</v>
      </c>
      <c r="G464" s="237" t="s">
        <v>209</v>
      </c>
    </row>
    <row r="465" spans="1:8" ht="15.75">
      <c r="A465" s="243">
        <v>83</v>
      </c>
      <c r="B465" s="251">
        <f t="shared" si="47"/>
        <v>42153</v>
      </c>
      <c r="C465" s="228" t="s">
        <v>195</v>
      </c>
      <c r="D465" s="229" t="s">
        <v>2</v>
      </c>
      <c r="E465" s="230" t="s">
        <v>357</v>
      </c>
      <c r="F465" s="236">
        <v>8613000</v>
      </c>
      <c r="G465" s="237" t="s">
        <v>209</v>
      </c>
    </row>
    <row r="466" spans="1:8" ht="15.75">
      <c r="A466" s="243">
        <v>84</v>
      </c>
      <c r="B466" s="251">
        <f t="shared" si="47"/>
        <v>42153</v>
      </c>
      <c r="C466" s="228" t="s">
        <v>195</v>
      </c>
      <c r="D466" s="229" t="s">
        <v>57</v>
      </c>
      <c r="E466" s="230" t="s">
        <v>184</v>
      </c>
      <c r="F466" s="236">
        <v>225000</v>
      </c>
      <c r="G466" s="237" t="s">
        <v>209</v>
      </c>
      <c r="H466" s="241"/>
    </row>
    <row r="467" spans="1:8" ht="15.75">
      <c r="A467" s="243">
        <v>85</v>
      </c>
      <c r="B467" s="251">
        <f>B466</f>
        <v>42153</v>
      </c>
      <c r="C467" s="228" t="s">
        <v>195</v>
      </c>
      <c r="D467" s="229" t="s">
        <v>57</v>
      </c>
      <c r="E467" s="230" t="s">
        <v>313</v>
      </c>
      <c r="F467" s="236">
        <v>200000</v>
      </c>
      <c r="G467" s="237" t="str">
        <f>G466</f>
        <v>T. pilihan</v>
      </c>
    </row>
    <row r="468" spans="1:8" ht="15.75">
      <c r="A468" s="243">
        <v>86</v>
      </c>
      <c r="B468" s="251">
        <f>B467+1</f>
        <v>42154</v>
      </c>
      <c r="C468" s="228" t="s">
        <v>195</v>
      </c>
      <c r="D468" s="229"/>
      <c r="E468" s="239" t="s">
        <v>205</v>
      </c>
      <c r="F468" s="236"/>
      <c r="G468" s="237" t="s">
        <v>206</v>
      </c>
    </row>
    <row r="469" spans="1:8" ht="15.75">
      <c r="A469" s="243">
        <v>87</v>
      </c>
      <c r="B469" s="251">
        <f>B468</f>
        <v>42154</v>
      </c>
      <c r="C469" s="228" t="s">
        <v>195</v>
      </c>
      <c r="D469" s="229" t="s">
        <v>2</v>
      </c>
      <c r="E469" s="230" t="s">
        <v>60</v>
      </c>
      <c r="F469" s="236">
        <v>1350000</v>
      </c>
      <c r="G469" s="237" t="s">
        <v>206</v>
      </c>
    </row>
    <row r="470" spans="1:8" ht="15.75">
      <c r="A470" s="243">
        <v>88</v>
      </c>
      <c r="B470" s="251">
        <f t="shared" ref="B470:B483" si="48">B469</f>
        <v>42154</v>
      </c>
      <c r="C470" s="228" t="s">
        <v>195</v>
      </c>
      <c r="D470" s="229" t="s">
        <v>3</v>
      </c>
      <c r="E470" s="230" t="s">
        <v>79</v>
      </c>
      <c r="F470" s="236">
        <v>200000</v>
      </c>
      <c r="G470" s="237" t="s">
        <v>206</v>
      </c>
    </row>
    <row r="471" spans="1:8" ht="15.75">
      <c r="A471" s="243">
        <v>89</v>
      </c>
      <c r="B471" s="251">
        <f t="shared" si="48"/>
        <v>42154</v>
      </c>
      <c r="C471" s="228" t="s">
        <v>195</v>
      </c>
      <c r="D471" s="229" t="s">
        <v>3</v>
      </c>
      <c r="E471" s="230" t="s">
        <v>76</v>
      </c>
      <c r="F471" s="236">
        <v>300000</v>
      </c>
      <c r="G471" s="237" t="s">
        <v>206</v>
      </c>
    </row>
    <row r="472" spans="1:8" ht="15.75">
      <c r="A472" s="243">
        <v>90</v>
      </c>
      <c r="B472" s="251">
        <f t="shared" si="48"/>
        <v>42154</v>
      </c>
      <c r="C472" s="228" t="s">
        <v>195</v>
      </c>
      <c r="D472" s="229" t="s">
        <v>2</v>
      </c>
      <c r="E472" s="230" t="s">
        <v>174</v>
      </c>
      <c r="F472" s="236">
        <v>315000</v>
      </c>
      <c r="G472" s="237" t="s">
        <v>206</v>
      </c>
      <c r="H472" s="238"/>
    </row>
    <row r="473" spans="1:8" ht="25.5">
      <c r="A473" s="243">
        <v>91</v>
      </c>
      <c r="B473" s="251">
        <f t="shared" si="48"/>
        <v>42154</v>
      </c>
      <c r="C473" s="228" t="s">
        <v>195</v>
      </c>
      <c r="D473" s="229" t="s">
        <v>57</v>
      </c>
      <c r="E473" s="230" t="s">
        <v>187</v>
      </c>
      <c r="F473" s="236">
        <v>105000</v>
      </c>
      <c r="G473" s="237" t="s">
        <v>206</v>
      </c>
    </row>
    <row r="474" spans="1:8" ht="15.75">
      <c r="A474" s="243">
        <v>92</v>
      </c>
      <c r="B474" s="251">
        <f t="shared" si="48"/>
        <v>42154</v>
      </c>
      <c r="C474" s="228" t="s">
        <v>195</v>
      </c>
      <c r="D474" s="229" t="s">
        <v>57</v>
      </c>
      <c r="E474" s="230" t="s">
        <v>184</v>
      </c>
      <c r="F474" s="236">
        <v>75000</v>
      </c>
      <c r="G474" s="237" t="s">
        <v>206</v>
      </c>
    </row>
    <row r="475" spans="1:8" ht="15.75">
      <c r="A475" s="243">
        <v>93</v>
      </c>
      <c r="B475" s="251">
        <f t="shared" si="48"/>
        <v>42154</v>
      </c>
      <c r="C475" s="228" t="s">
        <v>195</v>
      </c>
      <c r="D475" s="229"/>
      <c r="E475" s="239" t="s">
        <v>17</v>
      </c>
      <c r="F475" s="236"/>
      <c r="G475" s="237" t="s">
        <v>209</v>
      </c>
    </row>
    <row r="476" spans="1:8" ht="15.75">
      <c r="A476" s="243">
        <v>94</v>
      </c>
      <c r="B476" s="251">
        <f t="shared" si="48"/>
        <v>42154</v>
      </c>
      <c r="C476" s="228" t="s">
        <v>195</v>
      </c>
      <c r="D476" s="229" t="s">
        <v>42</v>
      </c>
      <c r="E476" s="230" t="s">
        <v>364</v>
      </c>
      <c r="F476" s="236">
        <v>10568660.869565219</v>
      </c>
      <c r="G476" s="237" t="s">
        <v>209</v>
      </c>
    </row>
    <row r="477" spans="1:8" ht="15.75">
      <c r="A477" s="243">
        <v>95</v>
      </c>
      <c r="B477" s="251">
        <f t="shared" si="48"/>
        <v>42154</v>
      </c>
      <c r="C477" s="228" t="s">
        <v>195</v>
      </c>
      <c r="D477" s="229" t="s">
        <v>2</v>
      </c>
      <c r="E477" s="230" t="s">
        <v>170</v>
      </c>
      <c r="F477" s="236">
        <v>1170000</v>
      </c>
      <c r="G477" s="237" t="s">
        <v>209</v>
      </c>
    </row>
    <row r="478" spans="1:8" ht="15.75">
      <c r="A478" s="243">
        <v>96</v>
      </c>
      <c r="B478" s="251">
        <f t="shared" si="48"/>
        <v>42154</v>
      </c>
      <c r="C478" s="228" t="s">
        <v>195</v>
      </c>
      <c r="D478" s="229" t="s">
        <v>2</v>
      </c>
      <c r="E478" s="230" t="s">
        <v>81</v>
      </c>
      <c r="F478" s="236">
        <v>207000</v>
      </c>
      <c r="G478" s="237" t="s">
        <v>209</v>
      </c>
    </row>
    <row r="479" spans="1:8" ht="15.75">
      <c r="A479" s="243">
        <v>97</v>
      </c>
      <c r="B479" s="251">
        <f t="shared" si="48"/>
        <v>42154</v>
      </c>
      <c r="C479" s="228" t="s">
        <v>195</v>
      </c>
      <c r="D479" s="229" t="s">
        <v>57</v>
      </c>
      <c r="E479" s="230" t="s">
        <v>79</v>
      </c>
      <c r="F479" s="236">
        <v>200000</v>
      </c>
      <c r="G479" s="237" t="s">
        <v>209</v>
      </c>
      <c r="H479" s="241"/>
    </row>
    <row r="480" spans="1:8" ht="15.75">
      <c r="A480" s="243">
        <v>98</v>
      </c>
      <c r="B480" s="251">
        <f t="shared" si="48"/>
        <v>42154</v>
      </c>
      <c r="C480" s="228" t="s">
        <v>195</v>
      </c>
      <c r="D480" s="229" t="s">
        <v>57</v>
      </c>
      <c r="E480" s="230" t="s">
        <v>188</v>
      </c>
      <c r="F480" s="236">
        <v>70000</v>
      </c>
      <c r="G480" s="237" t="s">
        <v>209</v>
      </c>
      <c r="H480" s="241"/>
    </row>
    <row r="481" spans="1:8" ht="15.75">
      <c r="A481" s="243">
        <v>99</v>
      </c>
      <c r="B481" s="251">
        <f t="shared" si="48"/>
        <v>42154</v>
      </c>
      <c r="C481" s="228" t="s">
        <v>195</v>
      </c>
      <c r="D481" s="229" t="s">
        <v>3</v>
      </c>
      <c r="E481" s="230" t="s">
        <v>76</v>
      </c>
      <c r="F481" s="236">
        <v>300000</v>
      </c>
      <c r="G481" s="237" t="s">
        <v>209</v>
      </c>
      <c r="H481" s="233"/>
    </row>
    <row r="482" spans="1:8" ht="15.75">
      <c r="A482" s="243">
        <v>100</v>
      </c>
      <c r="B482" s="251">
        <f t="shared" si="48"/>
        <v>42154</v>
      </c>
      <c r="C482" s="228" t="s">
        <v>195</v>
      </c>
      <c r="D482" s="229" t="s">
        <v>2</v>
      </c>
      <c r="E482" s="230" t="s">
        <v>357</v>
      </c>
      <c r="F482" s="236">
        <v>8613000</v>
      </c>
      <c r="G482" s="237" t="s">
        <v>209</v>
      </c>
    </row>
    <row r="483" spans="1:8" ht="15.75">
      <c r="A483" s="243">
        <v>101</v>
      </c>
      <c r="B483" s="251">
        <f t="shared" si="48"/>
        <v>42154</v>
      </c>
      <c r="C483" s="228" t="s">
        <v>195</v>
      </c>
      <c r="D483" s="229" t="s">
        <v>57</v>
      </c>
      <c r="E483" s="230" t="s">
        <v>184</v>
      </c>
      <c r="F483" s="236">
        <v>225000</v>
      </c>
      <c r="G483" s="237" t="s">
        <v>209</v>
      </c>
      <c r="H483" s="226"/>
    </row>
    <row r="484" spans="1:8" ht="15.75">
      <c r="A484" s="243">
        <v>102</v>
      </c>
      <c r="B484" s="251">
        <f>B483</f>
        <v>42154</v>
      </c>
      <c r="C484" s="228" t="s">
        <v>195</v>
      </c>
      <c r="D484" s="229" t="s">
        <v>57</v>
      </c>
      <c r="E484" s="230" t="s">
        <v>313</v>
      </c>
      <c r="F484" s="236">
        <v>200000</v>
      </c>
      <c r="G484" s="237" t="str">
        <f>G483</f>
        <v>T. pilihan</v>
      </c>
    </row>
    <row r="485" spans="1:8" ht="15.75">
      <c r="A485" s="243">
        <v>103</v>
      </c>
      <c r="B485" s="251">
        <f>B484+1</f>
        <v>42155</v>
      </c>
      <c r="C485" s="228" t="s">
        <v>195</v>
      </c>
      <c r="D485" s="229"/>
      <c r="E485" s="239" t="s">
        <v>205</v>
      </c>
      <c r="F485" s="236"/>
      <c r="G485" s="237" t="s">
        <v>206</v>
      </c>
    </row>
    <row r="486" spans="1:8" ht="15.75">
      <c r="A486" s="243">
        <v>104</v>
      </c>
      <c r="B486" s="251">
        <f>B485</f>
        <v>42155</v>
      </c>
      <c r="C486" s="228" t="s">
        <v>195</v>
      </c>
      <c r="D486" s="229" t="s">
        <v>2</v>
      </c>
      <c r="E486" s="230" t="s">
        <v>60</v>
      </c>
      <c r="F486" s="236">
        <v>1350000</v>
      </c>
      <c r="G486" s="237" t="s">
        <v>206</v>
      </c>
    </row>
    <row r="487" spans="1:8" ht="15.75">
      <c r="A487" s="243">
        <v>105</v>
      </c>
      <c r="B487" s="251">
        <f t="shared" ref="B487:B500" si="49">B486</f>
        <v>42155</v>
      </c>
      <c r="C487" s="228" t="s">
        <v>195</v>
      </c>
      <c r="D487" s="229" t="s">
        <v>3</v>
      </c>
      <c r="E487" s="230" t="s">
        <v>79</v>
      </c>
      <c r="F487" s="236">
        <v>200000</v>
      </c>
      <c r="G487" s="237" t="s">
        <v>206</v>
      </c>
    </row>
    <row r="488" spans="1:8" ht="15.75">
      <c r="A488" s="243">
        <v>106</v>
      </c>
      <c r="B488" s="251">
        <f t="shared" si="49"/>
        <v>42155</v>
      </c>
      <c r="C488" s="228" t="s">
        <v>195</v>
      </c>
      <c r="D488" s="229" t="s">
        <v>3</v>
      </c>
      <c r="E488" s="230" t="s">
        <v>76</v>
      </c>
      <c r="F488" s="236">
        <v>300000</v>
      </c>
      <c r="G488" s="237" t="s">
        <v>206</v>
      </c>
    </row>
    <row r="489" spans="1:8" ht="15.75">
      <c r="A489" s="243">
        <v>107</v>
      </c>
      <c r="B489" s="251">
        <f t="shared" si="49"/>
        <v>42155</v>
      </c>
      <c r="C489" s="228" t="s">
        <v>195</v>
      </c>
      <c r="D489" s="229" t="s">
        <v>2</v>
      </c>
      <c r="E489" s="230" t="s">
        <v>174</v>
      </c>
      <c r="F489" s="236">
        <v>315000</v>
      </c>
      <c r="G489" s="237" t="s">
        <v>206</v>
      </c>
    </row>
    <row r="490" spans="1:8" ht="25.5">
      <c r="A490" s="243">
        <v>108</v>
      </c>
      <c r="B490" s="251">
        <f t="shared" si="49"/>
        <v>42155</v>
      </c>
      <c r="C490" s="228" t="s">
        <v>195</v>
      </c>
      <c r="D490" s="229" t="s">
        <v>57</v>
      </c>
      <c r="E490" s="230" t="s">
        <v>187</v>
      </c>
      <c r="F490" s="236">
        <v>105000</v>
      </c>
      <c r="G490" s="237" t="s">
        <v>206</v>
      </c>
    </row>
    <row r="491" spans="1:8" ht="15.75">
      <c r="A491" s="243">
        <v>109</v>
      </c>
      <c r="B491" s="251">
        <f t="shared" si="49"/>
        <v>42155</v>
      </c>
      <c r="C491" s="228" t="s">
        <v>195</v>
      </c>
      <c r="D491" s="229" t="s">
        <v>57</v>
      </c>
      <c r="E491" s="230" t="s">
        <v>184</v>
      </c>
      <c r="F491" s="236">
        <v>75000</v>
      </c>
      <c r="G491" s="237" t="s">
        <v>206</v>
      </c>
    </row>
    <row r="492" spans="1:8" ht="15.75">
      <c r="A492" s="243">
        <v>110</v>
      </c>
      <c r="B492" s="251">
        <f t="shared" si="49"/>
        <v>42155</v>
      </c>
      <c r="C492" s="228" t="s">
        <v>195</v>
      </c>
      <c r="D492" s="229"/>
      <c r="E492" s="239" t="s">
        <v>17</v>
      </c>
      <c r="F492" s="236"/>
      <c r="G492" s="237" t="s">
        <v>209</v>
      </c>
    </row>
    <row r="493" spans="1:8" ht="15.75">
      <c r="A493" s="243">
        <v>111</v>
      </c>
      <c r="B493" s="251">
        <f t="shared" si="49"/>
        <v>42155</v>
      </c>
      <c r="C493" s="228" t="s">
        <v>195</v>
      </c>
      <c r="D493" s="229" t="s">
        <v>42</v>
      </c>
      <c r="E493" s="230" t="s">
        <v>364</v>
      </c>
      <c r="F493" s="236">
        <v>10568660.869565219</v>
      </c>
      <c r="G493" s="237" t="s">
        <v>209</v>
      </c>
    </row>
    <row r="494" spans="1:8" ht="15.75">
      <c r="A494" s="243">
        <v>112</v>
      </c>
      <c r="B494" s="251">
        <f t="shared" si="49"/>
        <v>42155</v>
      </c>
      <c r="C494" s="228" t="s">
        <v>195</v>
      </c>
      <c r="D494" s="229" t="s">
        <v>2</v>
      </c>
      <c r="E494" s="230" t="s">
        <v>170</v>
      </c>
      <c r="F494" s="236">
        <v>1170000</v>
      </c>
      <c r="G494" s="237" t="s">
        <v>209</v>
      </c>
    </row>
    <row r="495" spans="1:8" ht="15.75">
      <c r="A495" s="243">
        <v>113</v>
      </c>
      <c r="B495" s="251">
        <f t="shared" si="49"/>
        <v>42155</v>
      </c>
      <c r="C495" s="228" t="s">
        <v>195</v>
      </c>
      <c r="D495" s="229" t="s">
        <v>2</v>
      </c>
      <c r="E495" s="230" t="s">
        <v>81</v>
      </c>
      <c r="F495" s="236">
        <v>207000</v>
      </c>
      <c r="G495" s="237" t="s">
        <v>209</v>
      </c>
    </row>
    <row r="496" spans="1:8" ht="15.75">
      <c r="A496" s="243">
        <v>114</v>
      </c>
      <c r="B496" s="251">
        <f t="shared" si="49"/>
        <v>42155</v>
      </c>
      <c r="C496" s="228" t="s">
        <v>195</v>
      </c>
      <c r="D496" s="229" t="s">
        <v>57</v>
      </c>
      <c r="E496" s="230" t="s">
        <v>79</v>
      </c>
      <c r="F496" s="236">
        <v>200000</v>
      </c>
      <c r="G496" s="237" t="s">
        <v>209</v>
      </c>
      <c r="H496" s="241"/>
    </row>
    <row r="497" spans="1:8" ht="15.75">
      <c r="A497" s="243">
        <v>115</v>
      </c>
      <c r="B497" s="251">
        <f t="shared" si="49"/>
        <v>42155</v>
      </c>
      <c r="C497" s="228" t="s">
        <v>195</v>
      </c>
      <c r="D497" s="229" t="s">
        <v>57</v>
      </c>
      <c r="E497" s="230" t="s">
        <v>188</v>
      </c>
      <c r="F497" s="236">
        <v>70000</v>
      </c>
      <c r="G497" s="237" t="s">
        <v>209</v>
      </c>
    </row>
    <row r="498" spans="1:8" ht="15.75">
      <c r="A498" s="243">
        <v>116</v>
      </c>
      <c r="B498" s="251">
        <f t="shared" si="49"/>
        <v>42155</v>
      </c>
      <c r="C498" s="228" t="s">
        <v>195</v>
      </c>
      <c r="D498" s="229" t="s">
        <v>3</v>
      </c>
      <c r="E498" s="230" t="s">
        <v>76</v>
      </c>
      <c r="F498" s="236">
        <v>300000</v>
      </c>
      <c r="G498" s="237" t="s">
        <v>209</v>
      </c>
    </row>
    <row r="499" spans="1:8" ht="15.75">
      <c r="A499" s="243">
        <v>117</v>
      </c>
      <c r="B499" s="251">
        <f t="shared" si="49"/>
        <v>42155</v>
      </c>
      <c r="C499" s="228" t="s">
        <v>195</v>
      </c>
      <c r="D499" s="229" t="s">
        <v>2</v>
      </c>
      <c r="E499" s="230" t="s">
        <v>357</v>
      </c>
      <c r="F499" s="236">
        <v>8613000</v>
      </c>
      <c r="G499" s="237" t="s">
        <v>209</v>
      </c>
    </row>
    <row r="500" spans="1:8" ht="15.75">
      <c r="A500" s="243">
        <v>118</v>
      </c>
      <c r="B500" s="251">
        <f t="shared" si="49"/>
        <v>42155</v>
      </c>
      <c r="C500" s="228" t="s">
        <v>195</v>
      </c>
      <c r="D500" s="229" t="s">
        <v>57</v>
      </c>
      <c r="E500" s="230" t="s">
        <v>184</v>
      </c>
      <c r="F500" s="236">
        <v>225000</v>
      </c>
      <c r="G500" s="237" t="s">
        <v>209</v>
      </c>
    </row>
    <row r="501" spans="1:8" ht="15.75">
      <c r="A501" s="243">
        <v>119</v>
      </c>
      <c r="B501" s="251">
        <f>B500</f>
        <v>42155</v>
      </c>
      <c r="C501" s="228" t="s">
        <v>195</v>
      </c>
      <c r="D501" s="229" t="s">
        <v>57</v>
      </c>
      <c r="E501" s="230" t="s">
        <v>313</v>
      </c>
      <c r="F501" s="236">
        <v>200000</v>
      </c>
      <c r="G501" s="237" t="str">
        <f>G500</f>
        <v>T. pilihan</v>
      </c>
    </row>
    <row r="502" spans="1:8" ht="15.75">
      <c r="A502" s="243">
        <v>120</v>
      </c>
      <c r="B502" s="251">
        <f>B501+1</f>
        <v>42156</v>
      </c>
      <c r="C502" s="228" t="s">
        <v>195</v>
      </c>
      <c r="D502" s="229"/>
      <c r="E502" s="239" t="s">
        <v>205</v>
      </c>
      <c r="F502" s="236"/>
      <c r="G502" s="237" t="s">
        <v>206</v>
      </c>
      <c r="H502" s="238"/>
    </row>
    <row r="503" spans="1:8" ht="15.75">
      <c r="A503" s="243">
        <v>121</v>
      </c>
      <c r="B503" s="251">
        <f>B502</f>
        <v>42156</v>
      </c>
      <c r="C503" s="228" t="s">
        <v>195</v>
      </c>
      <c r="D503" s="229" t="s">
        <v>2</v>
      </c>
      <c r="E503" s="230" t="s">
        <v>60</v>
      </c>
      <c r="F503" s="236">
        <v>1350000</v>
      </c>
      <c r="G503" s="237" t="s">
        <v>206</v>
      </c>
    </row>
    <row r="504" spans="1:8" ht="15.75">
      <c r="A504" s="243">
        <v>122</v>
      </c>
      <c r="B504" s="251">
        <f t="shared" ref="B504:B517" si="50">B503</f>
        <v>42156</v>
      </c>
      <c r="C504" s="228" t="s">
        <v>195</v>
      </c>
      <c r="D504" s="229" t="s">
        <v>3</v>
      </c>
      <c r="E504" s="230" t="s">
        <v>79</v>
      </c>
      <c r="F504" s="236">
        <v>200000</v>
      </c>
      <c r="G504" s="237" t="s">
        <v>206</v>
      </c>
    </row>
    <row r="505" spans="1:8" ht="15.75">
      <c r="A505" s="243">
        <v>123</v>
      </c>
      <c r="B505" s="251">
        <f t="shared" si="50"/>
        <v>42156</v>
      </c>
      <c r="C505" s="228" t="s">
        <v>195</v>
      </c>
      <c r="D505" s="229" t="s">
        <v>3</v>
      </c>
      <c r="E505" s="230" t="s">
        <v>76</v>
      </c>
      <c r="F505" s="236">
        <v>300000</v>
      </c>
      <c r="G505" s="237" t="s">
        <v>206</v>
      </c>
    </row>
    <row r="506" spans="1:8" ht="15.75">
      <c r="A506" s="243">
        <v>124</v>
      </c>
      <c r="B506" s="251">
        <f t="shared" si="50"/>
        <v>42156</v>
      </c>
      <c r="C506" s="228" t="s">
        <v>195</v>
      </c>
      <c r="D506" s="229" t="s">
        <v>2</v>
      </c>
      <c r="E506" s="230" t="s">
        <v>174</v>
      </c>
      <c r="F506" s="236">
        <v>315000</v>
      </c>
      <c r="G506" s="237" t="s">
        <v>206</v>
      </c>
    </row>
    <row r="507" spans="1:8" ht="25.5">
      <c r="A507" s="243">
        <v>125</v>
      </c>
      <c r="B507" s="251">
        <f t="shared" si="50"/>
        <v>42156</v>
      </c>
      <c r="C507" s="228" t="s">
        <v>195</v>
      </c>
      <c r="D507" s="229" t="s">
        <v>57</v>
      </c>
      <c r="E507" s="230" t="s">
        <v>187</v>
      </c>
      <c r="F507" s="236">
        <v>105000</v>
      </c>
      <c r="G507" s="237" t="s">
        <v>206</v>
      </c>
    </row>
    <row r="508" spans="1:8" ht="15.75">
      <c r="A508" s="243">
        <v>126</v>
      </c>
      <c r="B508" s="251">
        <f t="shared" si="50"/>
        <v>42156</v>
      </c>
      <c r="C508" s="228" t="s">
        <v>195</v>
      </c>
      <c r="D508" s="229" t="s">
        <v>57</v>
      </c>
      <c r="E508" s="230" t="s">
        <v>184</v>
      </c>
      <c r="F508" s="236">
        <v>75000</v>
      </c>
      <c r="G508" s="237" t="s">
        <v>206</v>
      </c>
    </row>
    <row r="509" spans="1:8" ht="15.75">
      <c r="A509" s="243">
        <v>127</v>
      </c>
      <c r="B509" s="251">
        <f t="shared" si="50"/>
        <v>42156</v>
      </c>
      <c r="C509" s="228" t="s">
        <v>195</v>
      </c>
      <c r="D509" s="229"/>
      <c r="E509" s="239" t="s">
        <v>17</v>
      </c>
      <c r="F509" s="236"/>
      <c r="G509" s="237" t="s">
        <v>209</v>
      </c>
      <c r="H509" s="241"/>
    </row>
    <row r="510" spans="1:8" ht="15.75">
      <c r="A510" s="243">
        <v>128</v>
      </c>
      <c r="B510" s="251">
        <f t="shared" si="50"/>
        <v>42156</v>
      </c>
      <c r="C510" s="228" t="s">
        <v>195</v>
      </c>
      <c r="D510" s="229" t="s">
        <v>42</v>
      </c>
      <c r="E510" s="230" t="s">
        <v>364</v>
      </c>
      <c r="F510" s="236">
        <v>10568660.869565219</v>
      </c>
      <c r="G510" s="237" t="s">
        <v>209</v>
      </c>
      <c r="H510" s="241"/>
    </row>
    <row r="511" spans="1:8" ht="15.75">
      <c r="A511" s="243">
        <v>129</v>
      </c>
      <c r="B511" s="251">
        <f t="shared" si="50"/>
        <v>42156</v>
      </c>
      <c r="C511" s="228" t="s">
        <v>195</v>
      </c>
      <c r="D511" s="229" t="s">
        <v>2</v>
      </c>
      <c r="E511" s="230" t="s">
        <v>170</v>
      </c>
      <c r="F511" s="236">
        <v>1170000</v>
      </c>
      <c r="G511" s="237" t="s">
        <v>209</v>
      </c>
      <c r="H511" s="233"/>
    </row>
    <row r="512" spans="1:8" ht="15.75">
      <c r="A512" s="243">
        <v>130</v>
      </c>
      <c r="B512" s="251">
        <f t="shared" si="50"/>
        <v>42156</v>
      </c>
      <c r="C512" s="228" t="s">
        <v>195</v>
      </c>
      <c r="D512" s="229" t="s">
        <v>2</v>
      </c>
      <c r="E512" s="230" t="s">
        <v>81</v>
      </c>
      <c r="F512" s="236">
        <v>207000</v>
      </c>
      <c r="G512" s="237" t="s">
        <v>209</v>
      </c>
    </row>
    <row r="513" spans="1:8" ht="15.75">
      <c r="A513" s="243">
        <v>131</v>
      </c>
      <c r="B513" s="251">
        <f t="shared" si="50"/>
        <v>42156</v>
      </c>
      <c r="C513" s="228" t="s">
        <v>195</v>
      </c>
      <c r="D513" s="229" t="s">
        <v>57</v>
      </c>
      <c r="E513" s="230" t="s">
        <v>79</v>
      </c>
      <c r="F513" s="236">
        <v>200000</v>
      </c>
      <c r="G513" s="237" t="s">
        <v>209</v>
      </c>
      <c r="H513" s="226"/>
    </row>
    <row r="514" spans="1:8" ht="15.75">
      <c r="A514" s="243">
        <v>132</v>
      </c>
      <c r="B514" s="251">
        <f t="shared" si="50"/>
        <v>42156</v>
      </c>
      <c r="C514" s="228" t="s">
        <v>195</v>
      </c>
      <c r="D514" s="229" t="s">
        <v>57</v>
      </c>
      <c r="E514" s="230" t="s">
        <v>188</v>
      </c>
      <c r="F514" s="236">
        <v>70000</v>
      </c>
      <c r="G514" s="237" t="s">
        <v>209</v>
      </c>
    </row>
    <row r="515" spans="1:8" ht="15.75">
      <c r="A515" s="243">
        <v>133</v>
      </c>
      <c r="B515" s="251">
        <f t="shared" si="50"/>
        <v>42156</v>
      </c>
      <c r="C515" s="228" t="s">
        <v>195</v>
      </c>
      <c r="D515" s="229" t="s">
        <v>3</v>
      </c>
      <c r="E515" s="230" t="s">
        <v>76</v>
      </c>
      <c r="F515" s="236">
        <v>300000</v>
      </c>
      <c r="G515" s="237" t="s">
        <v>209</v>
      </c>
    </row>
    <row r="516" spans="1:8" ht="15.75">
      <c r="A516" s="243">
        <v>134</v>
      </c>
      <c r="B516" s="251">
        <f t="shared" si="50"/>
        <v>42156</v>
      </c>
      <c r="C516" s="228" t="s">
        <v>195</v>
      </c>
      <c r="D516" s="229" t="s">
        <v>2</v>
      </c>
      <c r="E516" s="230" t="s">
        <v>357</v>
      </c>
      <c r="F516" s="236">
        <v>8613000</v>
      </c>
      <c r="G516" s="237" t="s">
        <v>209</v>
      </c>
    </row>
    <row r="517" spans="1:8" ht="15.75">
      <c r="A517" s="243">
        <v>135</v>
      </c>
      <c r="B517" s="251">
        <f t="shared" si="50"/>
        <v>42156</v>
      </c>
      <c r="C517" s="228" t="s">
        <v>195</v>
      </c>
      <c r="D517" s="229" t="s">
        <v>57</v>
      </c>
      <c r="E517" s="230" t="s">
        <v>184</v>
      </c>
      <c r="F517" s="236">
        <v>225000</v>
      </c>
      <c r="G517" s="237" t="s">
        <v>209</v>
      </c>
    </row>
    <row r="518" spans="1:8" ht="15.75">
      <c r="A518" s="243">
        <v>136</v>
      </c>
      <c r="B518" s="251">
        <f>B517</f>
        <v>42156</v>
      </c>
      <c r="C518" s="228" t="s">
        <v>195</v>
      </c>
      <c r="D518" s="229" t="s">
        <v>57</v>
      </c>
      <c r="E518" s="230" t="s">
        <v>313</v>
      </c>
      <c r="F518" s="236">
        <v>200000</v>
      </c>
      <c r="G518" s="237" t="str">
        <f>G517</f>
        <v>T. pilihan</v>
      </c>
    </row>
    <row r="519" spans="1:8" ht="15.75">
      <c r="A519" s="243">
        <v>137</v>
      </c>
      <c r="B519" s="251">
        <f>B518+1</f>
        <v>42157</v>
      </c>
      <c r="C519" s="228" t="s">
        <v>195</v>
      </c>
      <c r="D519" s="229"/>
      <c r="E519" s="239" t="s">
        <v>205</v>
      </c>
      <c r="F519" s="236"/>
      <c r="G519" s="237" t="s">
        <v>206</v>
      </c>
    </row>
    <row r="520" spans="1:8" ht="15.75">
      <c r="A520" s="243">
        <v>138</v>
      </c>
      <c r="B520" s="251">
        <f>B519</f>
        <v>42157</v>
      </c>
      <c r="C520" s="228" t="s">
        <v>195</v>
      </c>
      <c r="D520" s="229" t="s">
        <v>2</v>
      </c>
      <c r="E520" s="230" t="s">
        <v>60</v>
      </c>
      <c r="F520" s="236">
        <v>1350000</v>
      </c>
      <c r="G520" s="237" t="s">
        <v>206</v>
      </c>
    </row>
    <row r="521" spans="1:8" ht="15.75">
      <c r="A521" s="243">
        <v>139</v>
      </c>
      <c r="B521" s="251">
        <f t="shared" ref="B521:B534" si="51">B520</f>
        <v>42157</v>
      </c>
      <c r="C521" s="228" t="s">
        <v>195</v>
      </c>
      <c r="D521" s="229" t="s">
        <v>3</v>
      </c>
      <c r="E521" s="230" t="s">
        <v>79</v>
      </c>
      <c r="F521" s="236">
        <v>200000</v>
      </c>
      <c r="G521" s="237" t="s">
        <v>206</v>
      </c>
    </row>
    <row r="522" spans="1:8" ht="15.75">
      <c r="A522" s="243">
        <v>140</v>
      </c>
      <c r="B522" s="251">
        <f t="shared" si="51"/>
        <v>42157</v>
      </c>
      <c r="C522" s="228" t="s">
        <v>195</v>
      </c>
      <c r="D522" s="229" t="s">
        <v>3</v>
      </c>
      <c r="E522" s="230" t="s">
        <v>76</v>
      </c>
      <c r="F522" s="236">
        <v>300000</v>
      </c>
      <c r="G522" s="237" t="s">
        <v>206</v>
      </c>
    </row>
    <row r="523" spans="1:8" ht="15.75">
      <c r="A523" s="243">
        <v>141</v>
      </c>
      <c r="B523" s="251">
        <f t="shared" si="51"/>
        <v>42157</v>
      </c>
      <c r="C523" s="228" t="s">
        <v>195</v>
      </c>
      <c r="D523" s="229" t="s">
        <v>2</v>
      </c>
      <c r="E523" s="230" t="s">
        <v>174</v>
      </c>
      <c r="F523" s="236">
        <v>315000</v>
      </c>
      <c r="G523" s="237" t="s">
        <v>206</v>
      </c>
    </row>
    <row r="524" spans="1:8" ht="25.5">
      <c r="A524" s="243">
        <v>142</v>
      </c>
      <c r="B524" s="251">
        <f t="shared" si="51"/>
        <v>42157</v>
      </c>
      <c r="C524" s="228" t="s">
        <v>195</v>
      </c>
      <c r="D524" s="229" t="s">
        <v>57</v>
      </c>
      <c r="E524" s="230" t="s">
        <v>187</v>
      </c>
      <c r="F524" s="236">
        <v>105000</v>
      </c>
      <c r="G524" s="237" t="s">
        <v>206</v>
      </c>
    </row>
    <row r="525" spans="1:8" ht="15.75">
      <c r="A525" s="243">
        <v>143</v>
      </c>
      <c r="B525" s="251">
        <f t="shared" si="51"/>
        <v>42157</v>
      </c>
      <c r="C525" s="228" t="s">
        <v>195</v>
      </c>
      <c r="D525" s="229" t="s">
        <v>57</v>
      </c>
      <c r="E525" s="230" t="s">
        <v>184</v>
      </c>
      <c r="F525" s="236">
        <v>75000</v>
      </c>
      <c r="G525" s="237" t="s">
        <v>206</v>
      </c>
    </row>
    <row r="526" spans="1:8" ht="15.75">
      <c r="A526" s="243">
        <v>144</v>
      </c>
      <c r="B526" s="251">
        <f t="shared" si="51"/>
        <v>42157</v>
      </c>
      <c r="C526" s="228" t="s">
        <v>195</v>
      </c>
      <c r="D526" s="229"/>
      <c r="E526" s="239" t="s">
        <v>17</v>
      </c>
      <c r="F526" s="236"/>
      <c r="G526" s="237" t="s">
        <v>209</v>
      </c>
      <c r="H526" s="241"/>
    </row>
    <row r="527" spans="1:8" ht="15.75">
      <c r="A527" s="243">
        <v>145</v>
      </c>
      <c r="B527" s="251">
        <f t="shared" si="51"/>
        <v>42157</v>
      </c>
      <c r="C527" s="228" t="s">
        <v>195</v>
      </c>
      <c r="D527" s="229" t="s">
        <v>42</v>
      </c>
      <c r="E527" s="230" t="s">
        <v>364</v>
      </c>
      <c r="F527" s="236">
        <v>10568660.869565219</v>
      </c>
      <c r="G527" s="237" t="s">
        <v>209</v>
      </c>
    </row>
    <row r="528" spans="1:8" ht="15.75">
      <c r="A528" s="243">
        <v>146</v>
      </c>
      <c r="B528" s="251">
        <f t="shared" si="51"/>
        <v>42157</v>
      </c>
      <c r="C528" s="228" t="s">
        <v>195</v>
      </c>
      <c r="D528" s="229" t="s">
        <v>2</v>
      </c>
      <c r="E528" s="230" t="s">
        <v>170</v>
      </c>
      <c r="F528" s="236">
        <v>1170000</v>
      </c>
      <c r="G528" s="237" t="s">
        <v>209</v>
      </c>
    </row>
    <row r="529" spans="1:8" ht="15.75">
      <c r="A529" s="243">
        <v>147</v>
      </c>
      <c r="B529" s="251">
        <f t="shared" si="51"/>
        <v>42157</v>
      </c>
      <c r="C529" s="228" t="s">
        <v>195</v>
      </c>
      <c r="D529" s="229" t="s">
        <v>2</v>
      </c>
      <c r="E529" s="230" t="s">
        <v>81</v>
      </c>
      <c r="F529" s="236">
        <v>207000</v>
      </c>
      <c r="G529" s="237" t="s">
        <v>209</v>
      </c>
    </row>
    <row r="530" spans="1:8" ht="15.75">
      <c r="A530" s="243">
        <v>148</v>
      </c>
      <c r="B530" s="251">
        <f t="shared" si="51"/>
        <v>42157</v>
      </c>
      <c r="C530" s="228" t="s">
        <v>195</v>
      </c>
      <c r="D530" s="229" t="s">
        <v>57</v>
      </c>
      <c r="E530" s="230" t="s">
        <v>79</v>
      </c>
      <c r="F530" s="236">
        <v>200000</v>
      </c>
      <c r="G530" s="237" t="s">
        <v>209</v>
      </c>
    </row>
    <row r="531" spans="1:8" ht="15.75">
      <c r="A531" s="243">
        <v>149</v>
      </c>
      <c r="B531" s="251">
        <f t="shared" si="51"/>
        <v>42157</v>
      </c>
      <c r="C531" s="228" t="s">
        <v>195</v>
      </c>
      <c r="D531" s="229" t="s">
        <v>57</v>
      </c>
      <c r="E531" s="230" t="s">
        <v>188</v>
      </c>
      <c r="F531" s="236">
        <v>70000</v>
      </c>
      <c r="G531" s="237" t="s">
        <v>209</v>
      </c>
    </row>
    <row r="532" spans="1:8" ht="15.75">
      <c r="A532" s="243">
        <v>150</v>
      </c>
      <c r="B532" s="251">
        <f t="shared" si="51"/>
        <v>42157</v>
      </c>
      <c r="C532" s="228" t="s">
        <v>195</v>
      </c>
      <c r="D532" s="229" t="s">
        <v>3</v>
      </c>
      <c r="E532" s="230" t="s">
        <v>76</v>
      </c>
      <c r="F532" s="236">
        <v>300000</v>
      </c>
      <c r="G532" s="237" t="s">
        <v>209</v>
      </c>
      <c r="H532" s="238"/>
    </row>
    <row r="533" spans="1:8" ht="15.75">
      <c r="A533" s="243">
        <v>151</v>
      </c>
      <c r="B533" s="251">
        <f t="shared" si="51"/>
        <v>42157</v>
      </c>
      <c r="C533" s="228" t="s">
        <v>195</v>
      </c>
      <c r="D533" s="229" t="s">
        <v>2</v>
      </c>
      <c r="E533" s="230" t="s">
        <v>357</v>
      </c>
      <c r="F533" s="236">
        <v>8613000</v>
      </c>
      <c r="G533" s="237" t="s">
        <v>209</v>
      </c>
    </row>
    <row r="534" spans="1:8" ht="15.75">
      <c r="A534" s="243">
        <v>152</v>
      </c>
      <c r="B534" s="251">
        <f t="shared" si="51"/>
        <v>42157</v>
      </c>
      <c r="C534" s="228" t="s">
        <v>195</v>
      </c>
      <c r="D534" s="229" t="s">
        <v>57</v>
      </c>
      <c r="E534" s="230" t="s">
        <v>184</v>
      </c>
      <c r="F534" s="236">
        <v>225000</v>
      </c>
      <c r="G534" s="237" t="s">
        <v>209</v>
      </c>
    </row>
    <row r="535" spans="1:8" ht="15.75">
      <c r="A535" s="243">
        <v>153</v>
      </c>
      <c r="B535" s="251">
        <f>B534</f>
        <v>42157</v>
      </c>
      <c r="C535" s="228" t="s">
        <v>195</v>
      </c>
      <c r="D535" s="229" t="s">
        <v>57</v>
      </c>
      <c r="E535" s="230" t="s">
        <v>313</v>
      </c>
      <c r="F535" s="236">
        <v>200000</v>
      </c>
      <c r="G535" s="237" t="str">
        <f>G534</f>
        <v>T. pilihan</v>
      </c>
    </row>
    <row r="536" spans="1:8" ht="15.75">
      <c r="A536" s="243">
        <v>154</v>
      </c>
      <c r="B536" s="251">
        <f>B535+1</f>
        <v>42158</v>
      </c>
      <c r="C536" s="228" t="s">
        <v>195</v>
      </c>
      <c r="D536" s="229"/>
      <c r="E536" s="239" t="s">
        <v>205</v>
      </c>
      <c r="F536" s="236"/>
      <c r="G536" s="237" t="s">
        <v>206</v>
      </c>
    </row>
    <row r="537" spans="1:8" ht="15.75">
      <c r="A537" s="243">
        <v>155</v>
      </c>
      <c r="B537" s="251">
        <f>B536</f>
        <v>42158</v>
      </c>
      <c r="C537" s="228" t="s">
        <v>195</v>
      </c>
      <c r="D537" s="229" t="s">
        <v>2</v>
      </c>
      <c r="E537" s="230" t="s">
        <v>60</v>
      </c>
      <c r="F537" s="236">
        <v>1350000</v>
      </c>
      <c r="G537" s="237" t="s">
        <v>206</v>
      </c>
    </row>
    <row r="538" spans="1:8" ht="15.75">
      <c r="A538" s="243">
        <v>156</v>
      </c>
      <c r="B538" s="251">
        <f t="shared" ref="B538:B551" si="52">B537</f>
        <v>42158</v>
      </c>
      <c r="C538" s="228" t="s">
        <v>195</v>
      </c>
      <c r="D538" s="229" t="s">
        <v>3</v>
      </c>
      <c r="E538" s="230" t="s">
        <v>79</v>
      </c>
      <c r="F538" s="236">
        <v>200000</v>
      </c>
      <c r="G538" s="237" t="s">
        <v>206</v>
      </c>
      <c r="H538" s="241"/>
    </row>
    <row r="539" spans="1:8" ht="15.75">
      <c r="A539" s="243">
        <v>157</v>
      </c>
      <c r="B539" s="251">
        <f t="shared" si="52"/>
        <v>42158</v>
      </c>
      <c r="C539" s="228" t="s">
        <v>195</v>
      </c>
      <c r="D539" s="229" t="s">
        <v>3</v>
      </c>
      <c r="E539" s="230" t="s">
        <v>76</v>
      </c>
      <c r="F539" s="236">
        <v>300000</v>
      </c>
      <c r="G539" s="237" t="s">
        <v>206</v>
      </c>
      <c r="H539" s="241"/>
    </row>
    <row r="540" spans="1:8" ht="15.75">
      <c r="A540" s="243">
        <v>158</v>
      </c>
      <c r="B540" s="251">
        <f t="shared" si="52"/>
        <v>42158</v>
      </c>
      <c r="C540" s="228" t="s">
        <v>195</v>
      </c>
      <c r="D540" s="229" t="s">
        <v>2</v>
      </c>
      <c r="E540" s="230" t="s">
        <v>174</v>
      </c>
      <c r="F540" s="236">
        <v>315000</v>
      </c>
      <c r="G540" s="237" t="s">
        <v>206</v>
      </c>
    </row>
    <row r="541" spans="1:8" ht="25.5">
      <c r="A541" s="243">
        <v>159</v>
      </c>
      <c r="B541" s="251">
        <f t="shared" si="52"/>
        <v>42158</v>
      </c>
      <c r="C541" s="228" t="s">
        <v>195</v>
      </c>
      <c r="D541" s="229" t="s">
        <v>57</v>
      </c>
      <c r="E541" s="230" t="s">
        <v>187</v>
      </c>
      <c r="F541" s="236">
        <v>105000</v>
      </c>
      <c r="G541" s="237" t="s">
        <v>206</v>
      </c>
      <c r="H541" s="233"/>
    </row>
    <row r="542" spans="1:8" ht="15.75">
      <c r="A542" s="243">
        <v>160</v>
      </c>
      <c r="B542" s="251">
        <f t="shared" si="52"/>
        <v>42158</v>
      </c>
      <c r="C542" s="228" t="s">
        <v>195</v>
      </c>
      <c r="D542" s="229" t="s">
        <v>57</v>
      </c>
      <c r="E542" s="230" t="s">
        <v>184</v>
      </c>
      <c r="F542" s="236">
        <v>75000</v>
      </c>
      <c r="G542" s="237" t="s">
        <v>206</v>
      </c>
    </row>
    <row r="543" spans="1:8" ht="15.75">
      <c r="A543" s="243">
        <v>161</v>
      </c>
      <c r="B543" s="251">
        <f t="shared" si="52"/>
        <v>42158</v>
      </c>
      <c r="C543" s="228" t="s">
        <v>195</v>
      </c>
      <c r="D543" s="229"/>
      <c r="E543" s="239" t="s">
        <v>17</v>
      </c>
      <c r="F543" s="236"/>
      <c r="G543" s="237" t="s">
        <v>209</v>
      </c>
      <c r="H543" s="226"/>
    </row>
    <row r="544" spans="1:8" ht="15.75">
      <c r="A544" s="243">
        <v>162</v>
      </c>
      <c r="B544" s="251">
        <f t="shared" si="52"/>
        <v>42158</v>
      </c>
      <c r="C544" s="228" t="s">
        <v>195</v>
      </c>
      <c r="D544" s="229" t="s">
        <v>42</v>
      </c>
      <c r="E544" s="230" t="s">
        <v>364</v>
      </c>
      <c r="F544" s="236">
        <v>10568660.869565219</v>
      </c>
      <c r="G544" s="237" t="s">
        <v>209</v>
      </c>
    </row>
    <row r="545" spans="1:8" ht="15.75">
      <c r="A545" s="243">
        <v>163</v>
      </c>
      <c r="B545" s="251">
        <f t="shared" si="52"/>
        <v>42158</v>
      </c>
      <c r="C545" s="228" t="s">
        <v>195</v>
      </c>
      <c r="D545" s="229" t="s">
        <v>2</v>
      </c>
      <c r="E545" s="230" t="s">
        <v>170</v>
      </c>
      <c r="F545" s="236">
        <v>1170000</v>
      </c>
      <c r="G545" s="237" t="s">
        <v>209</v>
      </c>
    </row>
    <row r="546" spans="1:8" ht="15.75">
      <c r="A546" s="243">
        <v>164</v>
      </c>
      <c r="B546" s="251">
        <f t="shared" si="52"/>
        <v>42158</v>
      </c>
      <c r="C546" s="228" t="s">
        <v>195</v>
      </c>
      <c r="D546" s="229" t="s">
        <v>2</v>
      </c>
      <c r="E546" s="230" t="s">
        <v>81</v>
      </c>
      <c r="F546" s="236">
        <v>207000</v>
      </c>
      <c r="G546" s="237" t="s">
        <v>209</v>
      </c>
    </row>
    <row r="547" spans="1:8" ht="15.75">
      <c r="A547" s="243">
        <v>165</v>
      </c>
      <c r="B547" s="251">
        <f t="shared" si="52"/>
        <v>42158</v>
      </c>
      <c r="C547" s="228" t="s">
        <v>195</v>
      </c>
      <c r="D547" s="229" t="s">
        <v>57</v>
      </c>
      <c r="E547" s="230" t="s">
        <v>79</v>
      </c>
      <c r="F547" s="236">
        <v>200000</v>
      </c>
      <c r="G547" s="237" t="s">
        <v>209</v>
      </c>
    </row>
    <row r="548" spans="1:8" ht="15.75">
      <c r="A548" s="243">
        <v>166</v>
      </c>
      <c r="B548" s="251">
        <f t="shared" si="52"/>
        <v>42158</v>
      </c>
      <c r="C548" s="228" t="s">
        <v>195</v>
      </c>
      <c r="D548" s="229" t="s">
        <v>57</v>
      </c>
      <c r="E548" s="230" t="s">
        <v>188</v>
      </c>
      <c r="F548" s="236">
        <v>70000</v>
      </c>
      <c r="G548" s="237" t="s">
        <v>209</v>
      </c>
    </row>
    <row r="549" spans="1:8" ht="15.75">
      <c r="A549" s="243">
        <v>167</v>
      </c>
      <c r="B549" s="251">
        <f t="shared" si="52"/>
        <v>42158</v>
      </c>
      <c r="C549" s="228" t="s">
        <v>195</v>
      </c>
      <c r="D549" s="229" t="s">
        <v>3</v>
      </c>
      <c r="E549" s="230" t="s">
        <v>76</v>
      </c>
      <c r="F549" s="236">
        <v>300000</v>
      </c>
      <c r="G549" s="237" t="s">
        <v>209</v>
      </c>
    </row>
    <row r="550" spans="1:8" ht="15.75">
      <c r="A550" s="243">
        <v>168</v>
      </c>
      <c r="B550" s="251">
        <f t="shared" si="52"/>
        <v>42158</v>
      </c>
      <c r="C550" s="228" t="s">
        <v>195</v>
      </c>
      <c r="D550" s="229" t="s">
        <v>2</v>
      </c>
      <c r="E550" s="230" t="s">
        <v>357</v>
      </c>
      <c r="F550" s="236">
        <v>8613000</v>
      </c>
      <c r="G550" s="237" t="s">
        <v>209</v>
      </c>
    </row>
    <row r="551" spans="1:8" ht="15.75">
      <c r="A551" s="243">
        <v>169</v>
      </c>
      <c r="B551" s="251">
        <f t="shared" si="52"/>
        <v>42158</v>
      </c>
      <c r="C551" s="228" t="s">
        <v>195</v>
      </c>
      <c r="D551" s="229" t="s">
        <v>57</v>
      </c>
      <c r="E551" s="230" t="s">
        <v>184</v>
      </c>
      <c r="F551" s="236">
        <v>225000</v>
      </c>
      <c r="G551" s="237" t="s">
        <v>209</v>
      </c>
    </row>
    <row r="552" spans="1:8" ht="15.75">
      <c r="A552" s="243">
        <v>170</v>
      </c>
      <c r="B552" s="251">
        <f>B551</f>
        <v>42158</v>
      </c>
      <c r="C552" s="228" t="s">
        <v>195</v>
      </c>
      <c r="D552" s="229" t="s">
        <v>57</v>
      </c>
      <c r="E552" s="230" t="s">
        <v>313</v>
      </c>
      <c r="F552" s="236">
        <v>200000</v>
      </c>
      <c r="G552" s="237" t="str">
        <f>G551</f>
        <v>T. pilihan</v>
      </c>
    </row>
    <row r="553" spans="1:8" ht="15.75">
      <c r="A553" s="243">
        <v>171</v>
      </c>
      <c r="B553" s="251">
        <f>B552+1</f>
        <v>42159</v>
      </c>
      <c r="C553" s="228" t="s">
        <v>195</v>
      </c>
      <c r="D553" s="229"/>
      <c r="E553" s="239" t="s">
        <v>205</v>
      </c>
      <c r="F553" s="236"/>
      <c r="G553" s="237" t="s">
        <v>206</v>
      </c>
    </row>
    <row r="554" spans="1:8" ht="15.75">
      <c r="A554" s="243">
        <v>172</v>
      </c>
      <c r="B554" s="251">
        <f>B553</f>
        <v>42159</v>
      </c>
      <c r="C554" s="228" t="s">
        <v>195</v>
      </c>
      <c r="D554" s="229" t="s">
        <v>2</v>
      </c>
      <c r="E554" s="230" t="s">
        <v>60</v>
      </c>
      <c r="F554" s="236">
        <v>1350000</v>
      </c>
      <c r="G554" s="237" t="s">
        <v>206</v>
      </c>
    </row>
    <row r="555" spans="1:8" ht="15.75">
      <c r="A555" s="243">
        <v>173</v>
      </c>
      <c r="B555" s="251">
        <f t="shared" ref="B555:B568" si="53">B554</f>
        <v>42159</v>
      </c>
      <c r="C555" s="228" t="s">
        <v>195</v>
      </c>
      <c r="D555" s="229" t="s">
        <v>3</v>
      </c>
      <c r="E555" s="230" t="s">
        <v>79</v>
      </c>
      <c r="F555" s="236">
        <v>200000</v>
      </c>
      <c r="G555" s="237" t="s">
        <v>206</v>
      </c>
    </row>
    <row r="556" spans="1:8" ht="15.75">
      <c r="A556" s="243">
        <v>174</v>
      </c>
      <c r="B556" s="251">
        <f t="shared" si="53"/>
        <v>42159</v>
      </c>
      <c r="C556" s="228" t="s">
        <v>195</v>
      </c>
      <c r="D556" s="229" t="s">
        <v>3</v>
      </c>
      <c r="E556" s="230" t="s">
        <v>76</v>
      </c>
      <c r="F556" s="236">
        <v>300000</v>
      </c>
      <c r="G556" s="237" t="s">
        <v>206</v>
      </c>
      <c r="H556" s="241"/>
    </row>
    <row r="557" spans="1:8" ht="15.75">
      <c r="A557" s="243">
        <v>175</v>
      </c>
      <c r="B557" s="251">
        <f t="shared" si="53"/>
        <v>42159</v>
      </c>
      <c r="C557" s="228" t="s">
        <v>195</v>
      </c>
      <c r="D557" s="229" t="s">
        <v>2</v>
      </c>
      <c r="E557" s="230" t="s">
        <v>174</v>
      </c>
      <c r="F557" s="236">
        <v>315000</v>
      </c>
      <c r="G557" s="237" t="s">
        <v>206</v>
      </c>
    </row>
    <row r="558" spans="1:8" ht="25.5">
      <c r="A558" s="243">
        <v>176</v>
      </c>
      <c r="B558" s="251">
        <f t="shared" si="53"/>
        <v>42159</v>
      </c>
      <c r="C558" s="228" t="s">
        <v>195</v>
      </c>
      <c r="D558" s="229" t="s">
        <v>57</v>
      </c>
      <c r="E558" s="230" t="s">
        <v>187</v>
      </c>
      <c r="F558" s="236">
        <v>105000</v>
      </c>
      <c r="G558" s="237" t="s">
        <v>206</v>
      </c>
    </row>
    <row r="559" spans="1:8" ht="15.75">
      <c r="A559" s="243">
        <v>177</v>
      </c>
      <c r="B559" s="251">
        <f t="shared" si="53"/>
        <v>42159</v>
      </c>
      <c r="C559" s="228" t="s">
        <v>195</v>
      </c>
      <c r="D559" s="229" t="s">
        <v>57</v>
      </c>
      <c r="E559" s="230" t="s">
        <v>184</v>
      </c>
      <c r="F559" s="236">
        <v>75000</v>
      </c>
      <c r="G559" s="237" t="s">
        <v>206</v>
      </c>
    </row>
    <row r="560" spans="1:8" ht="15.75">
      <c r="A560" s="243">
        <v>178</v>
      </c>
      <c r="B560" s="251">
        <f t="shared" si="53"/>
        <v>42159</v>
      </c>
      <c r="C560" s="228" t="s">
        <v>195</v>
      </c>
      <c r="D560" s="229"/>
      <c r="E560" s="239" t="s">
        <v>17</v>
      </c>
      <c r="F560" s="236"/>
      <c r="G560" s="237" t="s">
        <v>209</v>
      </c>
    </row>
    <row r="561" spans="1:8" ht="15.75">
      <c r="A561" s="243">
        <v>179</v>
      </c>
      <c r="B561" s="251">
        <f t="shared" si="53"/>
        <v>42159</v>
      </c>
      <c r="C561" s="228" t="s">
        <v>195</v>
      </c>
      <c r="D561" s="229" t="s">
        <v>42</v>
      </c>
      <c r="E561" s="230" t="s">
        <v>364</v>
      </c>
      <c r="F561" s="236">
        <v>10568660.869565219</v>
      </c>
      <c r="G561" s="237" t="s">
        <v>209</v>
      </c>
    </row>
    <row r="562" spans="1:8" ht="15.75">
      <c r="A562" s="243">
        <v>180</v>
      </c>
      <c r="B562" s="251">
        <f t="shared" si="53"/>
        <v>42159</v>
      </c>
      <c r="C562" s="228" t="s">
        <v>195</v>
      </c>
      <c r="D562" s="229" t="s">
        <v>2</v>
      </c>
      <c r="E562" s="230" t="s">
        <v>170</v>
      </c>
      <c r="F562" s="236">
        <v>1170000</v>
      </c>
      <c r="G562" s="237" t="s">
        <v>209</v>
      </c>
      <c r="H562" s="238"/>
    </row>
    <row r="563" spans="1:8" ht="15.75">
      <c r="A563" s="243">
        <v>181</v>
      </c>
      <c r="B563" s="251">
        <f t="shared" si="53"/>
        <v>42159</v>
      </c>
      <c r="C563" s="228" t="s">
        <v>195</v>
      </c>
      <c r="D563" s="229" t="s">
        <v>2</v>
      </c>
      <c r="E563" s="230" t="s">
        <v>81</v>
      </c>
      <c r="F563" s="236">
        <v>207000</v>
      </c>
      <c r="G563" s="237" t="s">
        <v>209</v>
      </c>
    </row>
    <row r="564" spans="1:8" ht="15.75">
      <c r="A564" s="243">
        <v>182</v>
      </c>
      <c r="B564" s="251">
        <f t="shared" si="53"/>
        <v>42159</v>
      </c>
      <c r="C564" s="228" t="s">
        <v>195</v>
      </c>
      <c r="D564" s="229" t="s">
        <v>57</v>
      </c>
      <c r="E564" s="230" t="s">
        <v>79</v>
      </c>
      <c r="F564" s="236">
        <v>200000</v>
      </c>
      <c r="G564" s="237" t="s">
        <v>209</v>
      </c>
    </row>
    <row r="565" spans="1:8" ht="15.75">
      <c r="A565" s="243">
        <v>183</v>
      </c>
      <c r="B565" s="251">
        <f t="shared" si="53"/>
        <v>42159</v>
      </c>
      <c r="C565" s="228" t="s">
        <v>195</v>
      </c>
      <c r="D565" s="229" t="s">
        <v>57</v>
      </c>
      <c r="E565" s="230" t="s">
        <v>188</v>
      </c>
      <c r="F565" s="236">
        <v>70000</v>
      </c>
      <c r="G565" s="237" t="s">
        <v>209</v>
      </c>
    </row>
    <row r="566" spans="1:8" ht="15.75">
      <c r="A566" s="243">
        <v>184</v>
      </c>
      <c r="B566" s="251">
        <f t="shared" si="53"/>
        <v>42159</v>
      </c>
      <c r="C566" s="228" t="s">
        <v>195</v>
      </c>
      <c r="D566" s="229" t="s">
        <v>3</v>
      </c>
      <c r="E566" s="230" t="s">
        <v>76</v>
      </c>
      <c r="F566" s="236">
        <v>300000</v>
      </c>
      <c r="G566" s="237" t="s">
        <v>209</v>
      </c>
    </row>
    <row r="567" spans="1:8" ht="15.75">
      <c r="A567" s="243">
        <v>185</v>
      </c>
      <c r="B567" s="251">
        <f t="shared" si="53"/>
        <v>42159</v>
      </c>
      <c r="C567" s="228" t="s">
        <v>195</v>
      </c>
      <c r="D567" s="229" t="s">
        <v>2</v>
      </c>
      <c r="E567" s="230" t="s">
        <v>357</v>
      </c>
      <c r="F567" s="236">
        <v>8613000</v>
      </c>
      <c r="G567" s="237" t="s">
        <v>209</v>
      </c>
    </row>
    <row r="568" spans="1:8" ht="15.75">
      <c r="A568" s="243">
        <v>186</v>
      </c>
      <c r="B568" s="251">
        <f t="shared" si="53"/>
        <v>42159</v>
      </c>
      <c r="C568" s="228" t="s">
        <v>195</v>
      </c>
      <c r="D568" s="229" t="s">
        <v>57</v>
      </c>
      <c r="E568" s="230" t="s">
        <v>184</v>
      </c>
      <c r="F568" s="236">
        <v>225000</v>
      </c>
      <c r="G568" s="237" t="s">
        <v>209</v>
      </c>
      <c r="H568" s="241"/>
    </row>
    <row r="569" spans="1:8" ht="15.75">
      <c r="A569" s="243">
        <v>187</v>
      </c>
      <c r="B569" s="251">
        <f>B568</f>
        <v>42159</v>
      </c>
      <c r="C569" s="228" t="s">
        <v>195</v>
      </c>
      <c r="D569" s="229" t="s">
        <v>57</v>
      </c>
      <c r="E569" s="230" t="s">
        <v>313</v>
      </c>
      <c r="F569" s="236">
        <v>200000</v>
      </c>
      <c r="G569" s="237" t="str">
        <f>G568</f>
        <v>T. pilihan</v>
      </c>
    </row>
    <row r="570" spans="1:8" ht="15.75">
      <c r="A570" s="243">
        <v>188</v>
      </c>
      <c r="B570" s="251">
        <f>B569+1</f>
        <v>42160</v>
      </c>
      <c r="C570" s="228" t="s">
        <v>195</v>
      </c>
      <c r="D570" s="229"/>
      <c r="E570" s="239" t="s">
        <v>205</v>
      </c>
      <c r="F570" s="236"/>
      <c r="G570" s="237" t="s">
        <v>206</v>
      </c>
      <c r="H570" s="241"/>
    </row>
    <row r="571" spans="1:8" ht="15.75">
      <c r="A571" s="243">
        <v>189</v>
      </c>
      <c r="B571" s="251">
        <f>B570</f>
        <v>42160</v>
      </c>
      <c r="C571" s="228" t="s">
        <v>195</v>
      </c>
      <c r="D571" s="229" t="s">
        <v>2</v>
      </c>
      <c r="E571" s="230" t="s">
        <v>60</v>
      </c>
      <c r="F571" s="236">
        <v>1350000</v>
      </c>
      <c r="G571" s="237" t="s">
        <v>206</v>
      </c>
      <c r="H571" s="233"/>
    </row>
    <row r="572" spans="1:8" ht="15.75">
      <c r="A572" s="243">
        <v>190</v>
      </c>
      <c r="B572" s="251">
        <f t="shared" ref="B572:B585" si="54">B571</f>
        <v>42160</v>
      </c>
      <c r="C572" s="228" t="s">
        <v>195</v>
      </c>
      <c r="D572" s="229" t="s">
        <v>3</v>
      </c>
      <c r="E572" s="230" t="s">
        <v>79</v>
      </c>
      <c r="F572" s="236">
        <v>200000</v>
      </c>
      <c r="G572" s="237" t="s">
        <v>206</v>
      </c>
    </row>
    <row r="573" spans="1:8" ht="15.75">
      <c r="A573" s="243">
        <v>191</v>
      </c>
      <c r="B573" s="251">
        <f t="shared" si="54"/>
        <v>42160</v>
      </c>
      <c r="C573" s="228" t="s">
        <v>195</v>
      </c>
      <c r="D573" s="229" t="s">
        <v>3</v>
      </c>
      <c r="E573" s="230" t="s">
        <v>76</v>
      </c>
      <c r="F573" s="236">
        <v>300000</v>
      </c>
      <c r="G573" s="237" t="s">
        <v>206</v>
      </c>
      <c r="H573" s="226"/>
    </row>
    <row r="574" spans="1:8" ht="15.75">
      <c r="A574" s="243">
        <v>192</v>
      </c>
      <c r="B574" s="251">
        <f t="shared" si="54"/>
        <v>42160</v>
      </c>
      <c r="C574" s="228" t="s">
        <v>195</v>
      </c>
      <c r="D574" s="229" t="s">
        <v>2</v>
      </c>
      <c r="E574" s="230" t="s">
        <v>174</v>
      </c>
      <c r="F574" s="236">
        <v>315000</v>
      </c>
      <c r="G574" s="237" t="s">
        <v>206</v>
      </c>
    </row>
    <row r="575" spans="1:8" ht="25.5">
      <c r="A575" s="243">
        <v>193</v>
      </c>
      <c r="B575" s="251">
        <f t="shared" si="54"/>
        <v>42160</v>
      </c>
      <c r="C575" s="228" t="s">
        <v>195</v>
      </c>
      <c r="D575" s="229" t="s">
        <v>57</v>
      </c>
      <c r="E575" s="230" t="s">
        <v>187</v>
      </c>
      <c r="F575" s="236">
        <v>105000</v>
      </c>
      <c r="G575" s="237" t="s">
        <v>206</v>
      </c>
    </row>
    <row r="576" spans="1:8" ht="15.75">
      <c r="A576" s="243">
        <v>194</v>
      </c>
      <c r="B576" s="251">
        <f t="shared" si="54"/>
        <v>42160</v>
      </c>
      <c r="C576" s="228" t="s">
        <v>195</v>
      </c>
      <c r="D576" s="229" t="s">
        <v>57</v>
      </c>
      <c r="E576" s="230" t="s">
        <v>184</v>
      </c>
      <c r="F576" s="236">
        <v>75000</v>
      </c>
      <c r="G576" s="237" t="s">
        <v>206</v>
      </c>
    </row>
    <row r="577" spans="1:8" ht="15.75">
      <c r="A577" s="243">
        <v>195</v>
      </c>
      <c r="B577" s="251">
        <f t="shared" si="54"/>
        <v>42160</v>
      </c>
      <c r="C577" s="228" t="s">
        <v>195</v>
      </c>
      <c r="D577" s="229"/>
      <c r="E577" s="239" t="s">
        <v>17</v>
      </c>
      <c r="F577" s="236"/>
      <c r="G577" s="237" t="s">
        <v>209</v>
      </c>
      <c r="H577" s="282">
        <f>SUBTOTAL(9,F390:F577)</f>
        <v>262885269.56521741</v>
      </c>
    </row>
    <row r="578" spans="1:8" ht="15.75">
      <c r="A578" s="243">
        <v>196</v>
      </c>
      <c r="B578" s="251">
        <f t="shared" si="54"/>
        <v>42160</v>
      </c>
      <c r="C578" s="228" t="s">
        <v>195</v>
      </c>
      <c r="D578" s="229" t="s">
        <v>42</v>
      </c>
      <c r="E578" s="230" t="s">
        <v>364</v>
      </c>
      <c r="F578" s="236">
        <v>10568660.869565219</v>
      </c>
      <c r="G578" s="237" t="s">
        <v>209</v>
      </c>
    </row>
    <row r="579" spans="1:8" ht="15.75">
      <c r="A579" s="243">
        <v>197</v>
      </c>
      <c r="B579" s="251">
        <f t="shared" si="54"/>
        <v>42160</v>
      </c>
      <c r="C579" s="228" t="s">
        <v>195</v>
      </c>
      <c r="D579" s="229" t="s">
        <v>2</v>
      </c>
      <c r="E579" s="230" t="s">
        <v>170</v>
      </c>
      <c r="F579" s="236">
        <v>1170000</v>
      </c>
      <c r="G579" s="237" t="s">
        <v>209</v>
      </c>
    </row>
    <row r="580" spans="1:8" ht="15.75">
      <c r="A580" s="243">
        <v>198</v>
      </c>
      <c r="B580" s="251">
        <f t="shared" si="54"/>
        <v>42160</v>
      </c>
      <c r="C580" s="228" t="s">
        <v>195</v>
      </c>
      <c r="D580" s="229" t="s">
        <v>2</v>
      </c>
      <c r="E580" s="230" t="s">
        <v>81</v>
      </c>
      <c r="F580" s="236">
        <v>207000</v>
      </c>
      <c r="G580" s="237" t="s">
        <v>209</v>
      </c>
    </row>
    <row r="581" spans="1:8" ht="15.75">
      <c r="A581" s="243">
        <v>199</v>
      </c>
      <c r="B581" s="251">
        <f t="shared" si="54"/>
        <v>42160</v>
      </c>
      <c r="C581" s="228" t="s">
        <v>195</v>
      </c>
      <c r="D581" s="229" t="s">
        <v>57</v>
      </c>
      <c r="E581" s="230" t="s">
        <v>79</v>
      </c>
      <c r="F581" s="236">
        <v>200000</v>
      </c>
      <c r="G581" s="237" t="s">
        <v>209</v>
      </c>
    </row>
    <row r="582" spans="1:8" ht="15.75">
      <c r="A582" s="243">
        <v>200</v>
      </c>
      <c r="B582" s="251">
        <f t="shared" si="54"/>
        <v>42160</v>
      </c>
      <c r="C582" s="228" t="s">
        <v>195</v>
      </c>
      <c r="D582" s="229" t="s">
        <v>57</v>
      </c>
      <c r="E582" s="230" t="s">
        <v>188</v>
      </c>
      <c r="F582" s="236">
        <v>70000</v>
      </c>
      <c r="G582" s="237" t="s">
        <v>209</v>
      </c>
    </row>
    <row r="583" spans="1:8" ht="15.75">
      <c r="A583" s="243">
        <v>201</v>
      </c>
      <c r="B583" s="251">
        <f t="shared" si="54"/>
        <v>42160</v>
      </c>
      <c r="C583" s="228" t="s">
        <v>195</v>
      </c>
      <c r="D583" s="229" t="s">
        <v>3</v>
      </c>
      <c r="E583" s="230" t="s">
        <v>76</v>
      </c>
      <c r="F583" s="236">
        <v>300000</v>
      </c>
      <c r="G583" s="237" t="s">
        <v>209</v>
      </c>
    </row>
    <row r="584" spans="1:8" ht="15.75">
      <c r="A584" s="243">
        <v>202</v>
      </c>
      <c r="B584" s="251">
        <f t="shared" si="54"/>
        <v>42160</v>
      </c>
      <c r="C584" s="228" t="s">
        <v>195</v>
      </c>
      <c r="D584" s="229" t="s">
        <v>2</v>
      </c>
      <c r="E584" s="230" t="s">
        <v>357</v>
      </c>
      <c r="F584" s="236">
        <v>8613000</v>
      </c>
      <c r="G584" s="237" t="s">
        <v>209</v>
      </c>
    </row>
    <row r="585" spans="1:8" ht="15.75">
      <c r="A585" s="243">
        <v>203</v>
      </c>
      <c r="B585" s="251">
        <f t="shared" si="54"/>
        <v>42160</v>
      </c>
      <c r="C585" s="228" t="s">
        <v>195</v>
      </c>
      <c r="D585" s="229" t="s">
        <v>57</v>
      </c>
      <c r="E585" s="230" t="s">
        <v>184</v>
      </c>
      <c r="F585" s="236">
        <v>225000</v>
      </c>
      <c r="G585" s="237" t="s">
        <v>209</v>
      </c>
    </row>
    <row r="586" spans="1:8" ht="15.75">
      <c r="A586" s="243">
        <v>204</v>
      </c>
      <c r="B586" s="251">
        <f>B585</f>
        <v>42160</v>
      </c>
      <c r="C586" s="228" t="s">
        <v>195</v>
      </c>
      <c r="D586" s="229" t="s">
        <v>57</v>
      </c>
      <c r="E586" s="230" t="s">
        <v>313</v>
      </c>
      <c r="F586" s="236">
        <v>200000</v>
      </c>
      <c r="G586" s="237" t="str">
        <f>G585</f>
        <v>T. pilihan</v>
      </c>
      <c r="H586" s="241"/>
    </row>
    <row r="587" spans="1:8" ht="15.75">
      <c r="A587" s="243">
        <v>205</v>
      </c>
      <c r="B587" s="251">
        <f>B586+1</f>
        <v>42161</v>
      </c>
      <c r="C587" s="228" t="s">
        <v>195</v>
      </c>
      <c r="D587" s="229"/>
      <c r="E587" s="239" t="s">
        <v>205</v>
      </c>
      <c r="F587" s="236"/>
      <c r="G587" s="237" t="s">
        <v>206</v>
      </c>
    </row>
    <row r="588" spans="1:8" ht="15.75">
      <c r="A588" s="243">
        <v>206</v>
      </c>
      <c r="B588" s="251">
        <f>B587</f>
        <v>42161</v>
      </c>
      <c r="C588" s="228" t="s">
        <v>195</v>
      </c>
      <c r="D588" s="229" t="s">
        <v>2</v>
      </c>
      <c r="E588" s="230" t="s">
        <v>60</v>
      </c>
      <c r="F588" s="236">
        <v>1350000</v>
      </c>
      <c r="G588" s="237" t="s">
        <v>206</v>
      </c>
    </row>
    <row r="589" spans="1:8" ht="15.75">
      <c r="A589" s="243">
        <v>207</v>
      </c>
      <c r="B589" s="251">
        <f t="shared" ref="B589:B602" si="55">B588</f>
        <v>42161</v>
      </c>
      <c r="C589" s="228" t="s">
        <v>195</v>
      </c>
      <c r="D589" s="229" t="s">
        <v>3</v>
      </c>
      <c r="E589" s="230" t="s">
        <v>79</v>
      </c>
      <c r="F589" s="236">
        <v>200000</v>
      </c>
      <c r="G589" s="237" t="s">
        <v>206</v>
      </c>
    </row>
    <row r="590" spans="1:8" ht="15.75">
      <c r="A590" s="243">
        <v>208</v>
      </c>
      <c r="B590" s="251">
        <f t="shared" si="55"/>
        <v>42161</v>
      </c>
      <c r="C590" s="228" t="s">
        <v>195</v>
      </c>
      <c r="D590" s="229" t="s">
        <v>3</v>
      </c>
      <c r="E590" s="230" t="s">
        <v>76</v>
      </c>
      <c r="F590" s="236">
        <v>300000</v>
      </c>
      <c r="G590" s="237" t="s">
        <v>206</v>
      </c>
    </row>
    <row r="591" spans="1:8" ht="15.75">
      <c r="A591" s="243">
        <v>209</v>
      </c>
      <c r="B591" s="251">
        <f t="shared" si="55"/>
        <v>42161</v>
      </c>
      <c r="C591" s="228" t="s">
        <v>195</v>
      </c>
      <c r="D591" s="229" t="s">
        <v>2</v>
      </c>
      <c r="E591" s="230" t="s">
        <v>174</v>
      </c>
      <c r="F591" s="236">
        <v>315000</v>
      </c>
      <c r="G591" s="237" t="s">
        <v>206</v>
      </c>
    </row>
    <row r="592" spans="1:8" ht="25.5">
      <c r="A592" s="243">
        <v>210</v>
      </c>
      <c r="B592" s="251">
        <f t="shared" si="55"/>
        <v>42161</v>
      </c>
      <c r="C592" s="228" t="s">
        <v>195</v>
      </c>
      <c r="D592" s="229" t="s">
        <v>57</v>
      </c>
      <c r="E592" s="230" t="s">
        <v>187</v>
      </c>
      <c r="F592" s="236">
        <v>105000</v>
      </c>
      <c r="G592" s="237" t="s">
        <v>206</v>
      </c>
      <c r="H592" s="238"/>
    </row>
    <row r="593" spans="1:8" ht="15.75">
      <c r="A593" s="243">
        <v>211</v>
      </c>
      <c r="B593" s="251">
        <f t="shared" si="55"/>
        <v>42161</v>
      </c>
      <c r="C593" s="228" t="s">
        <v>195</v>
      </c>
      <c r="D593" s="229" t="s">
        <v>57</v>
      </c>
      <c r="E593" s="230" t="s">
        <v>184</v>
      </c>
      <c r="F593" s="236">
        <v>75000</v>
      </c>
      <c r="G593" s="237" t="s">
        <v>206</v>
      </c>
    </row>
    <row r="594" spans="1:8" ht="15.75">
      <c r="A594" s="243">
        <v>212</v>
      </c>
      <c r="B594" s="251">
        <f t="shared" si="55"/>
        <v>42161</v>
      </c>
      <c r="C594" s="228" t="s">
        <v>195</v>
      </c>
      <c r="D594" s="229"/>
      <c r="E594" s="239" t="s">
        <v>17</v>
      </c>
      <c r="F594" s="236"/>
      <c r="G594" s="237" t="s">
        <v>209</v>
      </c>
    </row>
    <row r="595" spans="1:8" ht="15.75">
      <c r="A595" s="243">
        <v>213</v>
      </c>
      <c r="B595" s="251">
        <f t="shared" si="55"/>
        <v>42161</v>
      </c>
      <c r="C595" s="228" t="s">
        <v>195</v>
      </c>
      <c r="D595" s="229" t="s">
        <v>42</v>
      </c>
      <c r="E595" s="230" t="s">
        <v>364</v>
      </c>
      <c r="F595" s="236">
        <v>10568660.869565219</v>
      </c>
      <c r="G595" s="237" t="s">
        <v>209</v>
      </c>
    </row>
    <row r="596" spans="1:8" ht="15.75">
      <c r="A596" s="243">
        <v>214</v>
      </c>
      <c r="B596" s="251">
        <f t="shared" si="55"/>
        <v>42161</v>
      </c>
      <c r="C596" s="228" t="s">
        <v>195</v>
      </c>
      <c r="D596" s="229" t="s">
        <v>2</v>
      </c>
      <c r="E596" s="230" t="s">
        <v>170</v>
      </c>
      <c r="F596" s="236">
        <v>1170000</v>
      </c>
      <c r="G596" s="237" t="s">
        <v>209</v>
      </c>
    </row>
    <row r="597" spans="1:8" ht="15.75">
      <c r="A597" s="243">
        <v>215</v>
      </c>
      <c r="B597" s="251">
        <f t="shared" si="55"/>
        <v>42161</v>
      </c>
      <c r="C597" s="228" t="s">
        <v>195</v>
      </c>
      <c r="D597" s="229" t="s">
        <v>2</v>
      </c>
      <c r="E597" s="230" t="s">
        <v>81</v>
      </c>
      <c r="F597" s="236">
        <v>207000</v>
      </c>
      <c r="G597" s="237" t="s">
        <v>209</v>
      </c>
    </row>
    <row r="598" spans="1:8" ht="15.75">
      <c r="A598" s="243">
        <v>216</v>
      </c>
      <c r="B598" s="251">
        <f t="shared" si="55"/>
        <v>42161</v>
      </c>
      <c r="C598" s="228" t="s">
        <v>195</v>
      </c>
      <c r="D598" s="229" t="s">
        <v>57</v>
      </c>
      <c r="E598" s="230" t="s">
        <v>79</v>
      </c>
      <c r="F598" s="236">
        <v>200000</v>
      </c>
      <c r="G598" s="237" t="s">
        <v>209</v>
      </c>
    </row>
    <row r="599" spans="1:8" ht="15.75">
      <c r="A599" s="243">
        <v>217</v>
      </c>
      <c r="B599" s="251">
        <f t="shared" si="55"/>
        <v>42161</v>
      </c>
      <c r="C599" s="228" t="s">
        <v>195</v>
      </c>
      <c r="D599" s="229" t="s">
        <v>57</v>
      </c>
      <c r="E599" s="230" t="s">
        <v>188</v>
      </c>
      <c r="F599" s="236">
        <v>70000</v>
      </c>
      <c r="G599" s="237" t="s">
        <v>209</v>
      </c>
      <c r="H599" s="241"/>
    </row>
    <row r="600" spans="1:8" ht="15.75">
      <c r="A600" s="243">
        <v>218</v>
      </c>
      <c r="B600" s="251">
        <f t="shared" si="55"/>
        <v>42161</v>
      </c>
      <c r="C600" s="228" t="s">
        <v>195</v>
      </c>
      <c r="D600" s="229" t="s">
        <v>3</v>
      </c>
      <c r="E600" s="230" t="s">
        <v>76</v>
      </c>
      <c r="F600" s="236">
        <v>300000</v>
      </c>
      <c r="G600" s="237" t="s">
        <v>209</v>
      </c>
      <c r="H600" s="241"/>
    </row>
    <row r="601" spans="1:8" ht="15.75">
      <c r="A601" s="243">
        <v>219</v>
      </c>
      <c r="B601" s="251">
        <f t="shared" si="55"/>
        <v>42161</v>
      </c>
      <c r="C601" s="228" t="s">
        <v>195</v>
      </c>
      <c r="D601" s="229" t="s">
        <v>2</v>
      </c>
      <c r="E601" s="230" t="s">
        <v>357</v>
      </c>
      <c r="F601" s="236">
        <v>8613000</v>
      </c>
      <c r="G601" s="237" t="s">
        <v>209</v>
      </c>
    </row>
    <row r="602" spans="1:8" ht="15.75">
      <c r="A602" s="243">
        <v>220</v>
      </c>
      <c r="B602" s="251">
        <f t="shared" si="55"/>
        <v>42161</v>
      </c>
      <c r="C602" s="228" t="s">
        <v>195</v>
      </c>
      <c r="D602" s="229" t="s">
        <v>57</v>
      </c>
      <c r="E602" s="230" t="s">
        <v>184</v>
      </c>
      <c r="F602" s="236">
        <v>225000</v>
      </c>
      <c r="G602" s="237" t="s">
        <v>209</v>
      </c>
      <c r="H602" s="241"/>
    </row>
    <row r="603" spans="1:8" ht="15.75">
      <c r="A603" s="243">
        <v>221</v>
      </c>
      <c r="B603" s="251">
        <f>B602</f>
        <v>42161</v>
      </c>
      <c r="C603" s="228" t="s">
        <v>195</v>
      </c>
      <c r="D603" s="229" t="s">
        <v>57</v>
      </c>
      <c r="E603" s="230" t="s">
        <v>313</v>
      </c>
      <c r="F603" s="236">
        <v>200000</v>
      </c>
      <c r="G603" s="237" t="str">
        <f>G602</f>
        <v>T. pilihan</v>
      </c>
    </row>
    <row r="604" spans="1:8" ht="15.75">
      <c r="A604" s="243">
        <v>222</v>
      </c>
      <c r="B604" s="251">
        <f>B603+1</f>
        <v>42162</v>
      </c>
      <c r="C604" s="228" t="s">
        <v>195</v>
      </c>
      <c r="D604" s="229"/>
      <c r="E604" s="239" t="s">
        <v>205</v>
      </c>
      <c r="F604" s="236"/>
      <c r="G604" s="237" t="s">
        <v>206</v>
      </c>
    </row>
    <row r="605" spans="1:8" ht="15.75">
      <c r="A605" s="243">
        <v>223</v>
      </c>
      <c r="B605" s="251">
        <f>B604</f>
        <v>42162</v>
      </c>
      <c r="C605" s="228" t="s">
        <v>195</v>
      </c>
      <c r="D605" s="229" t="s">
        <v>2</v>
      </c>
      <c r="E605" s="230" t="s">
        <v>60</v>
      </c>
      <c r="F605" s="236">
        <v>1350000</v>
      </c>
      <c r="G605" s="237" t="s">
        <v>206</v>
      </c>
    </row>
    <row r="606" spans="1:8" ht="15.75">
      <c r="A606" s="243">
        <v>224</v>
      </c>
      <c r="B606" s="251">
        <f t="shared" ref="B606:B619" si="56">B605</f>
        <v>42162</v>
      </c>
      <c r="C606" s="228" t="s">
        <v>195</v>
      </c>
      <c r="D606" s="229" t="s">
        <v>3</v>
      </c>
      <c r="E606" s="230" t="s">
        <v>79</v>
      </c>
      <c r="F606" s="236">
        <v>200000</v>
      </c>
      <c r="G606" s="237" t="s">
        <v>206</v>
      </c>
    </row>
    <row r="607" spans="1:8" ht="15.75">
      <c r="A607" s="243">
        <v>225</v>
      </c>
      <c r="B607" s="251">
        <f t="shared" si="56"/>
        <v>42162</v>
      </c>
      <c r="C607" s="228" t="s">
        <v>195</v>
      </c>
      <c r="D607" s="229" t="s">
        <v>3</v>
      </c>
      <c r="E607" s="230" t="s">
        <v>76</v>
      </c>
      <c r="F607" s="236">
        <v>300000</v>
      </c>
      <c r="G607" s="237" t="s">
        <v>206</v>
      </c>
    </row>
    <row r="608" spans="1:8" ht="15.75">
      <c r="A608" s="243">
        <v>226</v>
      </c>
      <c r="B608" s="251">
        <f t="shared" si="56"/>
        <v>42162</v>
      </c>
      <c r="C608" s="228" t="s">
        <v>195</v>
      </c>
      <c r="D608" s="229" t="s">
        <v>2</v>
      </c>
      <c r="E608" s="230" t="s">
        <v>174</v>
      </c>
      <c r="F608" s="236">
        <v>315000</v>
      </c>
      <c r="G608" s="237" t="s">
        <v>206</v>
      </c>
      <c r="H608" s="238"/>
    </row>
    <row r="609" spans="1:9" ht="25.5">
      <c r="A609" s="243">
        <v>227</v>
      </c>
      <c r="B609" s="251">
        <f t="shared" si="56"/>
        <v>42162</v>
      </c>
      <c r="C609" s="228" t="s">
        <v>195</v>
      </c>
      <c r="D609" s="229" t="s">
        <v>57</v>
      </c>
      <c r="E609" s="230" t="s">
        <v>187</v>
      </c>
      <c r="F609" s="236">
        <v>105000</v>
      </c>
      <c r="G609" s="237" t="s">
        <v>206</v>
      </c>
    </row>
    <row r="610" spans="1:9" ht="15.75">
      <c r="A610" s="243">
        <v>228</v>
      </c>
      <c r="B610" s="251">
        <f t="shared" si="56"/>
        <v>42162</v>
      </c>
      <c r="C610" s="228" t="s">
        <v>195</v>
      </c>
      <c r="D610" s="229" t="s">
        <v>57</v>
      </c>
      <c r="E610" s="230" t="s">
        <v>184</v>
      </c>
      <c r="F610" s="236">
        <v>75000</v>
      </c>
      <c r="G610" s="237" t="s">
        <v>206</v>
      </c>
    </row>
    <row r="611" spans="1:9" ht="15.75">
      <c r="A611" s="243">
        <v>229</v>
      </c>
      <c r="B611" s="251">
        <f t="shared" si="56"/>
        <v>42162</v>
      </c>
      <c r="C611" s="228" t="s">
        <v>195</v>
      </c>
      <c r="D611" s="229"/>
      <c r="E611" s="239" t="s">
        <v>17</v>
      </c>
      <c r="F611" s="236"/>
      <c r="G611" s="237" t="s">
        <v>209</v>
      </c>
    </row>
    <row r="612" spans="1:9" ht="15.75">
      <c r="A612" s="243">
        <v>230</v>
      </c>
      <c r="B612" s="251">
        <f t="shared" si="56"/>
        <v>42162</v>
      </c>
      <c r="C612" s="228" t="s">
        <v>195</v>
      </c>
      <c r="D612" s="229" t="s">
        <v>42</v>
      </c>
      <c r="E612" s="230" t="s">
        <v>364</v>
      </c>
      <c r="F612" s="236">
        <v>10568660.869565219</v>
      </c>
      <c r="G612" s="237" t="s">
        <v>209</v>
      </c>
    </row>
    <row r="613" spans="1:9" ht="15.75">
      <c r="A613" s="243">
        <v>231</v>
      </c>
      <c r="B613" s="251">
        <f t="shared" si="56"/>
        <v>42162</v>
      </c>
      <c r="C613" s="228" t="s">
        <v>195</v>
      </c>
      <c r="D613" s="229" t="s">
        <v>2</v>
      </c>
      <c r="E613" s="230" t="s">
        <v>170</v>
      </c>
      <c r="F613" s="236">
        <v>1170000</v>
      </c>
      <c r="G613" s="237" t="s">
        <v>209</v>
      </c>
    </row>
    <row r="614" spans="1:9" ht="15.75">
      <c r="A614" s="243">
        <v>232</v>
      </c>
      <c r="B614" s="251">
        <f t="shared" si="56"/>
        <v>42162</v>
      </c>
      <c r="C614" s="228" t="s">
        <v>195</v>
      </c>
      <c r="D614" s="229" t="s">
        <v>2</v>
      </c>
      <c r="E614" s="230" t="s">
        <v>81</v>
      </c>
      <c r="F614" s="236">
        <v>207000</v>
      </c>
      <c r="G614" s="237" t="s">
        <v>209</v>
      </c>
    </row>
    <row r="615" spans="1:9" ht="15.75">
      <c r="A615" s="243">
        <v>233</v>
      </c>
      <c r="B615" s="251">
        <f t="shared" si="56"/>
        <v>42162</v>
      </c>
      <c r="C615" s="228" t="s">
        <v>195</v>
      </c>
      <c r="D615" s="229" t="s">
        <v>57</v>
      </c>
      <c r="E615" s="230" t="s">
        <v>79</v>
      </c>
      <c r="F615" s="236">
        <v>200000</v>
      </c>
      <c r="G615" s="237" t="s">
        <v>209</v>
      </c>
      <c r="H615" s="241"/>
    </row>
    <row r="616" spans="1:9" ht="15.75">
      <c r="A616" s="243">
        <v>234</v>
      </c>
      <c r="B616" s="251">
        <f t="shared" si="56"/>
        <v>42162</v>
      </c>
      <c r="C616" s="228" t="s">
        <v>195</v>
      </c>
      <c r="D616" s="229" t="s">
        <v>57</v>
      </c>
      <c r="E616" s="230" t="s">
        <v>188</v>
      </c>
      <c r="F616" s="236">
        <v>70000</v>
      </c>
      <c r="G616" s="237" t="s">
        <v>209</v>
      </c>
      <c r="H616" s="241"/>
    </row>
    <row r="617" spans="1:9" ht="15.75">
      <c r="A617" s="243">
        <v>235</v>
      </c>
      <c r="B617" s="251">
        <f t="shared" si="56"/>
        <v>42162</v>
      </c>
      <c r="C617" s="228" t="s">
        <v>195</v>
      </c>
      <c r="D617" s="229" t="s">
        <v>3</v>
      </c>
      <c r="E617" s="230" t="s">
        <v>76</v>
      </c>
      <c r="F617" s="236">
        <v>300000</v>
      </c>
      <c r="G617" s="237" t="s">
        <v>209</v>
      </c>
    </row>
    <row r="618" spans="1:9" ht="15.75">
      <c r="A618" s="243">
        <v>236</v>
      </c>
      <c r="B618" s="251">
        <f t="shared" si="56"/>
        <v>42162</v>
      </c>
      <c r="C618" s="228" t="s">
        <v>195</v>
      </c>
      <c r="D618" s="229" t="s">
        <v>2</v>
      </c>
      <c r="E618" s="230" t="s">
        <v>357</v>
      </c>
      <c r="F618" s="236">
        <v>8613000</v>
      </c>
      <c r="G618" s="237" t="s">
        <v>209</v>
      </c>
      <c r="H618" s="241"/>
    </row>
    <row r="619" spans="1:9" ht="15.75">
      <c r="A619" s="243">
        <v>237</v>
      </c>
      <c r="B619" s="251">
        <f t="shared" si="56"/>
        <v>42162</v>
      </c>
      <c r="C619" s="228" t="s">
        <v>195</v>
      </c>
      <c r="D619" s="229" t="s">
        <v>57</v>
      </c>
      <c r="E619" s="230" t="s">
        <v>184</v>
      </c>
      <c r="F619" s="236">
        <v>225000</v>
      </c>
      <c r="G619" s="237" t="s">
        <v>209</v>
      </c>
    </row>
    <row r="620" spans="1:9" ht="15.75">
      <c r="A620" s="243">
        <v>238</v>
      </c>
      <c r="B620" s="251">
        <f>B619</f>
        <v>42162</v>
      </c>
      <c r="C620" s="228" t="s">
        <v>195</v>
      </c>
      <c r="D620" s="229" t="s">
        <v>57</v>
      </c>
      <c r="E620" s="230" t="s">
        <v>313</v>
      </c>
      <c r="F620" s="236">
        <v>200000</v>
      </c>
      <c r="G620" s="237" t="str">
        <f>G619</f>
        <v>T. pilihan</v>
      </c>
    </row>
    <row r="621" spans="1:9" ht="15.75">
      <c r="A621" s="243">
        <f t="shared" ref="A621" si="57">A620+1</f>
        <v>239</v>
      </c>
      <c r="B621" s="251">
        <f>B620</f>
        <v>42162</v>
      </c>
      <c r="C621" s="228" t="s">
        <v>195</v>
      </c>
      <c r="D621" s="229" t="s">
        <v>57</v>
      </c>
      <c r="E621" s="230" t="s">
        <v>226</v>
      </c>
      <c r="F621" s="236">
        <f>5*35000*14</f>
        <v>2450000</v>
      </c>
      <c r="G621" s="237" t="s">
        <v>225</v>
      </c>
      <c r="H621" s="227">
        <v>14</v>
      </c>
    </row>
    <row r="622" spans="1:9" s="269" customFormat="1" ht="15">
      <c r="A622" s="262"/>
      <c r="B622" s="263" t="s">
        <v>189</v>
      </c>
      <c r="C622" s="264">
        <f>B620+1</f>
        <v>42163</v>
      </c>
      <c r="D622" s="264">
        <f>C622+13</f>
        <v>42176</v>
      </c>
      <c r="E622" s="265"/>
      <c r="F622" s="266">
        <f>SUM(F623:F798)</f>
        <v>315926252.17391312</v>
      </c>
      <c r="G622" s="267" t="s">
        <v>251</v>
      </c>
      <c r="H622" s="268"/>
      <c r="I622" s="227"/>
    </row>
    <row r="623" spans="1:9" ht="15.75">
      <c r="A623" s="243">
        <v>1</v>
      </c>
      <c r="B623" s="251">
        <f>C622</f>
        <v>42163</v>
      </c>
      <c r="C623" s="228" t="s">
        <v>195</v>
      </c>
      <c r="D623" s="229"/>
      <c r="E623" s="239" t="s">
        <v>205</v>
      </c>
      <c r="F623" s="236"/>
      <c r="G623" s="237" t="s">
        <v>206</v>
      </c>
      <c r="H623" s="233"/>
    </row>
    <row r="624" spans="1:9" ht="15.75">
      <c r="A624" s="243">
        <v>2</v>
      </c>
      <c r="B624" s="251">
        <f>B623</f>
        <v>42163</v>
      </c>
      <c r="C624" s="228" t="s">
        <v>195</v>
      </c>
      <c r="D624" s="229" t="s">
        <v>2</v>
      </c>
      <c r="E624" s="230" t="s">
        <v>60</v>
      </c>
      <c r="F624" s="236">
        <v>1350000</v>
      </c>
      <c r="G624" s="237" t="s">
        <v>206</v>
      </c>
    </row>
    <row r="625" spans="1:8" ht="15.75">
      <c r="A625" s="243">
        <v>3</v>
      </c>
      <c r="B625" s="251">
        <f t="shared" ref="B625:B638" si="58">B624</f>
        <v>42163</v>
      </c>
      <c r="C625" s="228" t="s">
        <v>195</v>
      </c>
      <c r="D625" s="229" t="s">
        <v>3</v>
      </c>
      <c r="E625" s="230" t="s">
        <v>79</v>
      </c>
      <c r="F625" s="236">
        <v>200000</v>
      </c>
      <c r="G625" s="237" t="s">
        <v>206</v>
      </c>
      <c r="H625" s="226"/>
    </row>
    <row r="626" spans="1:8" ht="15.75">
      <c r="A626" s="243">
        <v>4</v>
      </c>
      <c r="B626" s="251">
        <f t="shared" si="58"/>
        <v>42163</v>
      </c>
      <c r="C626" s="228" t="s">
        <v>195</v>
      </c>
      <c r="D626" s="229" t="s">
        <v>3</v>
      </c>
      <c r="E626" s="230" t="s">
        <v>76</v>
      </c>
      <c r="F626" s="236">
        <v>300000</v>
      </c>
      <c r="G626" s="237" t="s">
        <v>206</v>
      </c>
    </row>
    <row r="627" spans="1:8" ht="15.75">
      <c r="A627" s="243">
        <v>5</v>
      </c>
      <c r="B627" s="251">
        <f t="shared" si="58"/>
        <v>42163</v>
      </c>
      <c r="C627" s="228" t="s">
        <v>195</v>
      </c>
      <c r="D627" s="229" t="s">
        <v>2</v>
      </c>
      <c r="E627" s="230" t="s">
        <v>174</v>
      </c>
      <c r="F627" s="236">
        <v>315000</v>
      </c>
      <c r="G627" s="237" t="s">
        <v>206</v>
      </c>
    </row>
    <row r="628" spans="1:8" ht="25.5">
      <c r="A628" s="243">
        <v>6</v>
      </c>
      <c r="B628" s="251">
        <f t="shared" si="58"/>
        <v>42163</v>
      </c>
      <c r="C628" s="228" t="s">
        <v>195</v>
      </c>
      <c r="D628" s="229" t="s">
        <v>57</v>
      </c>
      <c r="E628" s="230" t="s">
        <v>187</v>
      </c>
      <c r="F628" s="236">
        <v>105000</v>
      </c>
      <c r="G628" s="237" t="s">
        <v>206</v>
      </c>
      <c r="H628" s="241"/>
    </row>
    <row r="629" spans="1:8" ht="15.75">
      <c r="A629" s="243">
        <v>7</v>
      </c>
      <c r="B629" s="251">
        <f t="shared" si="58"/>
        <v>42163</v>
      </c>
      <c r="C629" s="228" t="s">
        <v>195</v>
      </c>
      <c r="D629" s="229" t="s">
        <v>57</v>
      </c>
      <c r="E629" s="230" t="s">
        <v>184</v>
      </c>
      <c r="F629" s="236">
        <v>75000</v>
      </c>
      <c r="G629" s="237" t="s">
        <v>206</v>
      </c>
      <c r="H629" s="241"/>
    </row>
    <row r="630" spans="1:8" ht="15.75">
      <c r="A630" s="243">
        <v>8</v>
      </c>
      <c r="B630" s="251">
        <f t="shared" si="58"/>
        <v>42163</v>
      </c>
      <c r="C630" s="228" t="s">
        <v>195</v>
      </c>
      <c r="D630" s="229"/>
      <c r="E630" s="239" t="s">
        <v>17</v>
      </c>
      <c r="F630" s="236"/>
      <c r="G630" s="237" t="s">
        <v>209</v>
      </c>
      <c r="H630" s="233"/>
    </row>
    <row r="631" spans="1:8" ht="15.75">
      <c r="A631" s="243">
        <v>9</v>
      </c>
      <c r="B631" s="251">
        <f t="shared" si="58"/>
        <v>42163</v>
      </c>
      <c r="C631" s="228" t="s">
        <v>195</v>
      </c>
      <c r="D631" s="229" t="s">
        <v>42</v>
      </c>
      <c r="E631" s="230" t="s">
        <v>364</v>
      </c>
      <c r="F631" s="236">
        <v>10568660.869565219</v>
      </c>
      <c r="G631" s="237" t="s">
        <v>209</v>
      </c>
      <c r="H631" s="226"/>
    </row>
    <row r="632" spans="1:8" ht="15.75">
      <c r="A632" s="243">
        <v>10</v>
      </c>
      <c r="B632" s="251">
        <f t="shared" si="58"/>
        <v>42163</v>
      </c>
      <c r="C632" s="228" t="s">
        <v>195</v>
      </c>
      <c r="D632" s="229" t="s">
        <v>2</v>
      </c>
      <c r="E632" s="230" t="s">
        <v>170</v>
      </c>
      <c r="F632" s="236">
        <v>1170000</v>
      </c>
      <c r="G632" s="237" t="s">
        <v>209</v>
      </c>
    </row>
    <row r="633" spans="1:8" ht="15.75">
      <c r="A633" s="243">
        <v>11</v>
      </c>
      <c r="B633" s="251">
        <f t="shared" si="58"/>
        <v>42163</v>
      </c>
      <c r="C633" s="228" t="s">
        <v>195</v>
      </c>
      <c r="D633" s="229" t="s">
        <v>2</v>
      </c>
      <c r="E633" s="230" t="s">
        <v>81</v>
      </c>
      <c r="F633" s="236">
        <v>207000</v>
      </c>
      <c r="G633" s="237" t="s">
        <v>209</v>
      </c>
      <c r="H633" s="226"/>
    </row>
    <row r="634" spans="1:8" ht="15.75">
      <c r="A634" s="243">
        <v>12</v>
      </c>
      <c r="B634" s="251">
        <f t="shared" si="58"/>
        <v>42163</v>
      </c>
      <c r="C634" s="228" t="s">
        <v>195</v>
      </c>
      <c r="D634" s="229" t="s">
        <v>57</v>
      </c>
      <c r="E634" s="230" t="s">
        <v>79</v>
      </c>
      <c r="F634" s="236">
        <v>200000</v>
      </c>
      <c r="G634" s="237" t="s">
        <v>209</v>
      </c>
    </row>
    <row r="635" spans="1:8" ht="15.75">
      <c r="A635" s="243">
        <v>13</v>
      </c>
      <c r="B635" s="251">
        <f t="shared" si="58"/>
        <v>42163</v>
      </c>
      <c r="C635" s="228" t="s">
        <v>195</v>
      </c>
      <c r="D635" s="229" t="s">
        <v>57</v>
      </c>
      <c r="E635" s="230" t="s">
        <v>188</v>
      </c>
      <c r="F635" s="236">
        <v>70000</v>
      </c>
      <c r="G635" s="237" t="s">
        <v>209</v>
      </c>
    </row>
    <row r="636" spans="1:8" ht="15.75">
      <c r="A636" s="243">
        <v>14</v>
      </c>
      <c r="B636" s="251">
        <f t="shared" si="58"/>
        <v>42163</v>
      </c>
      <c r="C636" s="228" t="s">
        <v>195</v>
      </c>
      <c r="D636" s="229" t="s">
        <v>3</v>
      </c>
      <c r="E636" s="230" t="s">
        <v>76</v>
      </c>
      <c r="F636" s="236">
        <v>300000</v>
      </c>
      <c r="G636" s="237" t="s">
        <v>209</v>
      </c>
    </row>
    <row r="637" spans="1:8" ht="15.75">
      <c r="A637" s="243">
        <v>15</v>
      </c>
      <c r="B637" s="251">
        <f t="shared" si="58"/>
        <v>42163</v>
      </c>
      <c r="C637" s="228" t="s">
        <v>195</v>
      </c>
      <c r="D637" s="229" t="s">
        <v>2</v>
      </c>
      <c r="E637" s="230" t="s">
        <v>357</v>
      </c>
      <c r="F637" s="236">
        <v>8613000</v>
      </c>
      <c r="G637" s="237" t="s">
        <v>209</v>
      </c>
    </row>
    <row r="638" spans="1:8" ht="15.75">
      <c r="A638" s="243">
        <v>16</v>
      </c>
      <c r="B638" s="251">
        <f t="shared" si="58"/>
        <v>42163</v>
      </c>
      <c r="C638" s="228" t="s">
        <v>195</v>
      </c>
      <c r="D638" s="229" t="s">
        <v>57</v>
      </c>
      <c r="E638" s="230" t="s">
        <v>184</v>
      </c>
      <c r="F638" s="236">
        <v>225000</v>
      </c>
      <c r="G638" s="237" t="s">
        <v>209</v>
      </c>
    </row>
    <row r="639" spans="1:8" ht="15.75">
      <c r="A639" s="243">
        <v>17</v>
      </c>
      <c r="B639" s="251">
        <f>B638</f>
        <v>42163</v>
      </c>
      <c r="C639" s="228" t="s">
        <v>195</v>
      </c>
      <c r="D639" s="229" t="s">
        <v>57</v>
      </c>
      <c r="E639" s="230" t="s">
        <v>313</v>
      </c>
      <c r="F639" s="236">
        <v>200000</v>
      </c>
      <c r="G639" s="237" t="str">
        <f>G638</f>
        <v>T. pilihan</v>
      </c>
    </row>
    <row r="640" spans="1:8" ht="15.75">
      <c r="A640" s="243">
        <v>18</v>
      </c>
      <c r="B640" s="251">
        <f>B639+1</f>
        <v>42164</v>
      </c>
      <c r="C640" s="228" t="s">
        <v>195</v>
      </c>
      <c r="D640" s="229"/>
      <c r="E640" s="239" t="s">
        <v>205</v>
      </c>
      <c r="F640" s="236"/>
      <c r="G640" s="237" t="s">
        <v>206</v>
      </c>
    </row>
    <row r="641" spans="1:8" ht="15.75">
      <c r="A641" s="243">
        <v>19</v>
      </c>
      <c r="B641" s="251">
        <f>B640</f>
        <v>42164</v>
      </c>
      <c r="C641" s="228" t="s">
        <v>195</v>
      </c>
      <c r="D641" s="229" t="s">
        <v>2</v>
      </c>
      <c r="E641" s="230" t="s">
        <v>60</v>
      </c>
      <c r="F641" s="236">
        <v>1350000</v>
      </c>
      <c r="G641" s="237" t="s">
        <v>206</v>
      </c>
    </row>
    <row r="642" spans="1:8" ht="15.75">
      <c r="A642" s="243">
        <v>20</v>
      </c>
      <c r="B642" s="251">
        <f t="shared" ref="B642:B655" si="59">B641</f>
        <v>42164</v>
      </c>
      <c r="C642" s="228" t="s">
        <v>195</v>
      </c>
      <c r="D642" s="229" t="s">
        <v>3</v>
      </c>
      <c r="E642" s="230" t="s">
        <v>79</v>
      </c>
      <c r="F642" s="236">
        <v>200000</v>
      </c>
      <c r="G642" s="237" t="s">
        <v>206</v>
      </c>
      <c r="H642" s="226"/>
    </row>
    <row r="643" spans="1:8" ht="15.75">
      <c r="A643" s="243">
        <v>21</v>
      </c>
      <c r="B643" s="251">
        <f t="shared" si="59"/>
        <v>42164</v>
      </c>
      <c r="C643" s="228" t="s">
        <v>195</v>
      </c>
      <c r="D643" s="229" t="s">
        <v>3</v>
      </c>
      <c r="E643" s="230" t="s">
        <v>76</v>
      </c>
      <c r="F643" s="236">
        <v>300000</v>
      </c>
      <c r="G643" s="237" t="s">
        <v>206</v>
      </c>
    </row>
    <row r="644" spans="1:8" ht="15.75">
      <c r="A644" s="243">
        <v>22</v>
      </c>
      <c r="B644" s="251">
        <f t="shared" si="59"/>
        <v>42164</v>
      </c>
      <c r="C644" s="228" t="s">
        <v>195</v>
      </c>
      <c r="D644" s="229" t="s">
        <v>2</v>
      </c>
      <c r="E644" s="230" t="s">
        <v>174</v>
      </c>
      <c r="F644" s="236">
        <v>315000</v>
      </c>
      <c r="G644" s="237" t="s">
        <v>206</v>
      </c>
      <c r="H644" s="226"/>
    </row>
    <row r="645" spans="1:8" ht="25.5">
      <c r="A645" s="243">
        <v>23</v>
      </c>
      <c r="B645" s="251">
        <f t="shared" si="59"/>
        <v>42164</v>
      </c>
      <c r="C645" s="228" t="s">
        <v>195</v>
      </c>
      <c r="D645" s="229" t="s">
        <v>57</v>
      </c>
      <c r="E645" s="230" t="s">
        <v>187</v>
      </c>
      <c r="F645" s="236">
        <v>105000</v>
      </c>
      <c r="G645" s="237" t="s">
        <v>206</v>
      </c>
    </row>
    <row r="646" spans="1:8" ht="15.75">
      <c r="A646" s="243">
        <v>24</v>
      </c>
      <c r="B646" s="251">
        <f t="shared" si="59"/>
        <v>42164</v>
      </c>
      <c r="C646" s="228" t="s">
        <v>195</v>
      </c>
      <c r="D646" s="229" t="s">
        <v>57</v>
      </c>
      <c r="E646" s="230" t="s">
        <v>184</v>
      </c>
      <c r="F646" s="236">
        <v>75000</v>
      </c>
      <c r="G646" s="237" t="s">
        <v>206</v>
      </c>
      <c r="H646" s="241"/>
    </row>
    <row r="647" spans="1:8" ht="15.75">
      <c r="A647" s="243">
        <v>25</v>
      </c>
      <c r="B647" s="251">
        <f t="shared" si="59"/>
        <v>42164</v>
      </c>
      <c r="C647" s="228" t="s">
        <v>195</v>
      </c>
      <c r="D647" s="229"/>
      <c r="E647" s="239" t="s">
        <v>17</v>
      </c>
      <c r="F647" s="236"/>
      <c r="G647" s="237" t="s">
        <v>209</v>
      </c>
    </row>
    <row r="648" spans="1:8" ht="15.75">
      <c r="A648" s="243">
        <v>26</v>
      </c>
      <c r="B648" s="251">
        <f t="shared" si="59"/>
        <v>42164</v>
      </c>
      <c r="C648" s="228" t="s">
        <v>195</v>
      </c>
      <c r="D648" s="229" t="s">
        <v>42</v>
      </c>
      <c r="E648" s="230" t="s">
        <v>364</v>
      </c>
      <c r="F648" s="236">
        <v>10568660.869565219</v>
      </c>
      <c r="G648" s="237" t="s">
        <v>209</v>
      </c>
    </row>
    <row r="649" spans="1:8" ht="15.75">
      <c r="A649" s="243">
        <v>27</v>
      </c>
      <c r="B649" s="251">
        <f t="shared" si="59"/>
        <v>42164</v>
      </c>
      <c r="C649" s="228" t="s">
        <v>195</v>
      </c>
      <c r="D649" s="229" t="s">
        <v>2</v>
      </c>
      <c r="E649" s="230" t="s">
        <v>170</v>
      </c>
      <c r="F649" s="236">
        <v>1170000</v>
      </c>
      <c r="G649" s="237" t="s">
        <v>209</v>
      </c>
    </row>
    <row r="650" spans="1:8" ht="15.75">
      <c r="A650" s="243">
        <v>28</v>
      </c>
      <c r="B650" s="251">
        <f t="shared" si="59"/>
        <v>42164</v>
      </c>
      <c r="C650" s="228" t="s">
        <v>195</v>
      </c>
      <c r="D650" s="229" t="s">
        <v>2</v>
      </c>
      <c r="E650" s="230" t="s">
        <v>81</v>
      </c>
      <c r="F650" s="236">
        <v>207000</v>
      </c>
      <c r="G650" s="237" t="s">
        <v>209</v>
      </c>
    </row>
    <row r="651" spans="1:8" ht="15.75">
      <c r="A651" s="243">
        <v>29</v>
      </c>
      <c r="B651" s="251">
        <f t="shared" si="59"/>
        <v>42164</v>
      </c>
      <c r="C651" s="228" t="s">
        <v>195</v>
      </c>
      <c r="D651" s="229" t="s">
        <v>57</v>
      </c>
      <c r="E651" s="230" t="s">
        <v>79</v>
      </c>
      <c r="F651" s="236">
        <v>200000</v>
      </c>
      <c r="G651" s="237" t="s">
        <v>209</v>
      </c>
    </row>
    <row r="652" spans="1:8" ht="15.75">
      <c r="A652" s="243">
        <v>30</v>
      </c>
      <c r="B652" s="251">
        <f t="shared" si="59"/>
        <v>42164</v>
      </c>
      <c r="C652" s="228" t="s">
        <v>195</v>
      </c>
      <c r="D652" s="229" t="s">
        <v>57</v>
      </c>
      <c r="E652" s="230" t="s">
        <v>188</v>
      </c>
      <c r="F652" s="236">
        <v>70000</v>
      </c>
      <c r="G652" s="237" t="s">
        <v>209</v>
      </c>
      <c r="H652" s="238"/>
    </row>
    <row r="653" spans="1:8" ht="15.75">
      <c r="A653" s="243">
        <v>31</v>
      </c>
      <c r="B653" s="251">
        <f t="shared" si="59"/>
        <v>42164</v>
      </c>
      <c r="C653" s="228" t="s">
        <v>195</v>
      </c>
      <c r="D653" s="229" t="s">
        <v>3</v>
      </c>
      <c r="E653" s="230" t="s">
        <v>76</v>
      </c>
      <c r="F653" s="236">
        <v>300000</v>
      </c>
      <c r="G653" s="237" t="s">
        <v>209</v>
      </c>
    </row>
    <row r="654" spans="1:8" ht="15.75">
      <c r="A654" s="243">
        <v>32</v>
      </c>
      <c r="B654" s="251">
        <f t="shared" si="59"/>
        <v>42164</v>
      </c>
      <c r="C654" s="228" t="s">
        <v>195</v>
      </c>
      <c r="D654" s="229" t="s">
        <v>2</v>
      </c>
      <c r="E654" s="230" t="s">
        <v>357</v>
      </c>
      <c r="F654" s="236">
        <v>8613000</v>
      </c>
      <c r="G654" s="237" t="s">
        <v>209</v>
      </c>
    </row>
    <row r="655" spans="1:8" ht="15.75">
      <c r="A655" s="243">
        <v>33</v>
      </c>
      <c r="B655" s="251">
        <f t="shared" si="59"/>
        <v>42164</v>
      </c>
      <c r="C655" s="228" t="s">
        <v>195</v>
      </c>
      <c r="D655" s="229" t="s">
        <v>57</v>
      </c>
      <c r="E655" s="230" t="s">
        <v>184</v>
      </c>
      <c r="F655" s="236">
        <v>225000</v>
      </c>
      <c r="G655" s="237" t="s">
        <v>209</v>
      </c>
    </row>
    <row r="656" spans="1:8" ht="15.75">
      <c r="A656" s="243">
        <v>34</v>
      </c>
      <c r="B656" s="251">
        <f>B655</f>
        <v>42164</v>
      </c>
      <c r="C656" s="228" t="s">
        <v>195</v>
      </c>
      <c r="D656" s="229" t="s">
        <v>57</v>
      </c>
      <c r="E656" s="230" t="s">
        <v>313</v>
      </c>
      <c r="F656" s="236">
        <v>200000</v>
      </c>
      <c r="G656" s="237" t="str">
        <f>G655</f>
        <v>T. pilihan</v>
      </c>
    </row>
    <row r="657" spans="1:8" ht="15.75">
      <c r="A657" s="243">
        <v>35</v>
      </c>
      <c r="B657" s="251">
        <f>B656+1</f>
        <v>42165</v>
      </c>
      <c r="C657" s="228" t="s">
        <v>195</v>
      </c>
      <c r="D657" s="229"/>
      <c r="E657" s="239" t="s">
        <v>205</v>
      </c>
      <c r="F657" s="236"/>
      <c r="G657" s="237" t="s">
        <v>206</v>
      </c>
    </row>
    <row r="658" spans="1:8" ht="15.75">
      <c r="A658" s="243">
        <v>36</v>
      </c>
      <c r="B658" s="251">
        <f>B657</f>
        <v>42165</v>
      </c>
      <c r="C658" s="228" t="s">
        <v>195</v>
      </c>
      <c r="D658" s="229" t="s">
        <v>2</v>
      </c>
      <c r="E658" s="230" t="s">
        <v>60</v>
      </c>
      <c r="F658" s="236">
        <v>1350000</v>
      </c>
      <c r="G658" s="237" t="s">
        <v>206</v>
      </c>
    </row>
    <row r="659" spans="1:8" ht="15.75">
      <c r="A659" s="243">
        <v>37</v>
      </c>
      <c r="B659" s="251">
        <f t="shared" ref="B659:B672" si="60">B658</f>
        <v>42165</v>
      </c>
      <c r="C659" s="228" t="s">
        <v>195</v>
      </c>
      <c r="D659" s="229" t="s">
        <v>3</v>
      </c>
      <c r="E659" s="230" t="s">
        <v>79</v>
      </c>
      <c r="F659" s="236">
        <v>200000</v>
      </c>
      <c r="G659" s="237" t="s">
        <v>206</v>
      </c>
      <c r="H659" s="241"/>
    </row>
    <row r="660" spans="1:8" ht="15.75">
      <c r="A660" s="243">
        <v>38</v>
      </c>
      <c r="B660" s="251">
        <f t="shared" si="60"/>
        <v>42165</v>
      </c>
      <c r="C660" s="228" t="s">
        <v>195</v>
      </c>
      <c r="D660" s="229" t="s">
        <v>3</v>
      </c>
      <c r="E660" s="230" t="s">
        <v>76</v>
      </c>
      <c r="F660" s="236">
        <v>300000</v>
      </c>
      <c r="G660" s="237" t="s">
        <v>206</v>
      </c>
      <c r="H660" s="241"/>
    </row>
    <row r="661" spans="1:8" ht="15.75">
      <c r="A661" s="243">
        <v>39</v>
      </c>
      <c r="B661" s="251">
        <f t="shared" si="60"/>
        <v>42165</v>
      </c>
      <c r="C661" s="228" t="s">
        <v>195</v>
      </c>
      <c r="D661" s="229" t="s">
        <v>2</v>
      </c>
      <c r="E661" s="230" t="s">
        <v>174</v>
      </c>
      <c r="F661" s="236">
        <v>315000</v>
      </c>
      <c r="G661" s="237" t="s">
        <v>206</v>
      </c>
      <c r="H661" s="233"/>
    </row>
    <row r="662" spans="1:8" ht="25.5">
      <c r="A662" s="243">
        <v>40</v>
      </c>
      <c r="B662" s="251">
        <f t="shared" si="60"/>
        <v>42165</v>
      </c>
      <c r="C662" s="228" t="s">
        <v>195</v>
      </c>
      <c r="D662" s="229" t="s">
        <v>57</v>
      </c>
      <c r="E662" s="230" t="s">
        <v>187</v>
      </c>
      <c r="F662" s="236">
        <v>105000</v>
      </c>
      <c r="G662" s="237" t="s">
        <v>206</v>
      </c>
    </row>
    <row r="663" spans="1:8" ht="15.75">
      <c r="A663" s="243">
        <v>41</v>
      </c>
      <c r="B663" s="251">
        <f t="shared" si="60"/>
        <v>42165</v>
      </c>
      <c r="C663" s="228" t="s">
        <v>195</v>
      </c>
      <c r="D663" s="229" t="s">
        <v>57</v>
      </c>
      <c r="E663" s="230" t="s">
        <v>184</v>
      </c>
      <c r="F663" s="236">
        <v>75000</v>
      </c>
      <c r="G663" s="237" t="s">
        <v>206</v>
      </c>
      <c r="H663" s="226"/>
    </row>
    <row r="664" spans="1:8" ht="15.75">
      <c r="A664" s="243">
        <v>42</v>
      </c>
      <c r="B664" s="251">
        <f t="shared" si="60"/>
        <v>42165</v>
      </c>
      <c r="C664" s="228" t="s">
        <v>195</v>
      </c>
      <c r="D664" s="229"/>
      <c r="E664" s="239" t="s">
        <v>17</v>
      </c>
      <c r="F664" s="236"/>
      <c r="G664" s="237" t="s">
        <v>209</v>
      </c>
    </row>
    <row r="665" spans="1:8" ht="15.75">
      <c r="A665" s="243">
        <v>43</v>
      </c>
      <c r="B665" s="251">
        <f t="shared" si="60"/>
        <v>42165</v>
      </c>
      <c r="C665" s="228" t="s">
        <v>195</v>
      </c>
      <c r="D665" s="229" t="s">
        <v>42</v>
      </c>
      <c r="E665" s="230" t="s">
        <v>364</v>
      </c>
      <c r="F665" s="236">
        <v>10568660.869565219</v>
      </c>
      <c r="G665" s="237" t="s">
        <v>209</v>
      </c>
    </row>
    <row r="666" spans="1:8" ht="15.75">
      <c r="A666" s="243">
        <v>44</v>
      </c>
      <c r="B666" s="251">
        <f t="shared" si="60"/>
        <v>42165</v>
      </c>
      <c r="C666" s="228" t="s">
        <v>195</v>
      </c>
      <c r="D666" s="229" t="s">
        <v>2</v>
      </c>
      <c r="E666" s="230" t="s">
        <v>170</v>
      </c>
      <c r="F666" s="236">
        <v>1170000</v>
      </c>
      <c r="G666" s="237" t="s">
        <v>209</v>
      </c>
    </row>
    <row r="667" spans="1:8" ht="15.75">
      <c r="A667" s="243">
        <v>45</v>
      </c>
      <c r="B667" s="251">
        <f t="shared" si="60"/>
        <v>42165</v>
      </c>
      <c r="C667" s="228" t="s">
        <v>195</v>
      </c>
      <c r="D667" s="229" t="s">
        <v>2</v>
      </c>
      <c r="E667" s="230" t="s">
        <v>81</v>
      </c>
      <c r="F667" s="236">
        <v>207000</v>
      </c>
      <c r="G667" s="237" t="s">
        <v>209</v>
      </c>
    </row>
    <row r="668" spans="1:8" ht="15.75">
      <c r="A668" s="243">
        <v>46</v>
      </c>
      <c r="B668" s="251">
        <f t="shared" si="60"/>
        <v>42165</v>
      </c>
      <c r="C668" s="228" t="s">
        <v>195</v>
      </c>
      <c r="D668" s="229" t="s">
        <v>57</v>
      </c>
      <c r="E668" s="230" t="s">
        <v>79</v>
      </c>
      <c r="F668" s="236">
        <v>200000</v>
      </c>
      <c r="G668" s="237" t="s">
        <v>209</v>
      </c>
    </row>
    <row r="669" spans="1:8" ht="15.75">
      <c r="A669" s="243">
        <v>47</v>
      </c>
      <c r="B669" s="251">
        <f t="shared" si="60"/>
        <v>42165</v>
      </c>
      <c r="C669" s="228" t="s">
        <v>195</v>
      </c>
      <c r="D669" s="229" t="s">
        <v>57</v>
      </c>
      <c r="E669" s="230" t="s">
        <v>188</v>
      </c>
      <c r="F669" s="236">
        <v>70000</v>
      </c>
      <c r="G669" s="237" t="s">
        <v>209</v>
      </c>
    </row>
    <row r="670" spans="1:8" ht="15.75">
      <c r="A670" s="243">
        <v>48</v>
      </c>
      <c r="B670" s="251">
        <f t="shared" si="60"/>
        <v>42165</v>
      </c>
      <c r="C670" s="228" t="s">
        <v>195</v>
      </c>
      <c r="D670" s="229" t="s">
        <v>3</v>
      </c>
      <c r="E670" s="230" t="s">
        <v>76</v>
      </c>
      <c r="F670" s="236">
        <v>300000</v>
      </c>
      <c r="G670" s="237" t="s">
        <v>209</v>
      </c>
    </row>
    <row r="671" spans="1:8" ht="15.75">
      <c r="A671" s="243">
        <v>49</v>
      </c>
      <c r="B671" s="251">
        <f t="shared" si="60"/>
        <v>42165</v>
      </c>
      <c r="C671" s="228" t="s">
        <v>195</v>
      </c>
      <c r="D671" s="229" t="s">
        <v>2</v>
      </c>
      <c r="E671" s="230" t="s">
        <v>357</v>
      </c>
      <c r="F671" s="236">
        <v>8613000</v>
      </c>
      <c r="G671" s="237" t="s">
        <v>209</v>
      </c>
    </row>
    <row r="672" spans="1:8" ht="15.75">
      <c r="A672" s="243">
        <v>50</v>
      </c>
      <c r="B672" s="251">
        <f t="shared" si="60"/>
        <v>42165</v>
      </c>
      <c r="C672" s="228" t="s">
        <v>195</v>
      </c>
      <c r="D672" s="229" t="s">
        <v>57</v>
      </c>
      <c r="E672" s="230" t="s">
        <v>184</v>
      </c>
      <c r="F672" s="236">
        <v>225000</v>
      </c>
      <c r="G672" s="237" t="s">
        <v>209</v>
      </c>
    </row>
    <row r="673" spans="1:8" ht="15.75">
      <c r="A673" s="243">
        <v>51</v>
      </c>
      <c r="B673" s="251">
        <f>B672</f>
        <v>42165</v>
      </c>
      <c r="C673" s="228" t="s">
        <v>195</v>
      </c>
      <c r="D673" s="229" t="s">
        <v>57</v>
      </c>
      <c r="E673" s="230" t="s">
        <v>313</v>
      </c>
      <c r="F673" s="236">
        <v>200000</v>
      </c>
      <c r="G673" s="237" t="str">
        <f>G672</f>
        <v>T. pilihan</v>
      </c>
    </row>
    <row r="674" spans="1:8" ht="15.75">
      <c r="A674" s="243">
        <v>52</v>
      </c>
      <c r="B674" s="251">
        <f>B673+1</f>
        <v>42166</v>
      </c>
      <c r="C674" s="228" t="s">
        <v>195</v>
      </c>
      <c r="D674" s="229"/>
      <c r="E674" s="239" t="s">
        <v>205</v>
      </c>
      <c r="F674" s="236"/>
      <c r="G674" s="237" t="s">
        <v>206</v>
      </c>
    </row>
    <row r="675" spans="1:8" ht="15.75">
      <c r="A675" s="243">
        <v>53</v>
      </c>
      <c r="B675" s="251">
        <f>B674</f>
        <v>42166</v>
      </c>
      <c r="C675" s="228" t="s">
        <v>195</v>
      </c>
      <c r="D675" s="229" t="s">
        <v>2</v>
      </c>
      <c r="E675" s="230" t="s">
        <v>60</v>
      </c>
      <c r="F675" s="236">
        <v>1350000</v>
      </c>
      <c r="G675" s="237" t="s">
        <v>206</v>
      </c>
    </row>
    <row r="676" spans="1:8" ht="15.75">
      <c r="A676" s="243">
        <v>54</v>
      </c>
      <c r="B676" s="251">
        <f t="shared" ref="B676:B689" si="61">B675</f>
        <v>42166</v>
      </c>
      <c r="C676" s="228" t="s">
        <v>195</v>
      </c>
      <c r="D676" s="229" t="s">
        <v>3</v>
      </c>
      <c r="E676" s="230" t="s">
        <v>79</v>
      </c>
      <c r="F676" s="236">
        <v>200000</v>
      </c>
      <c r="G676" s="237" t="s">
        <v>206</v>
      </c>
      <c r="H676" s="241"/>
    </row>
    <row r="677" spans="1:8" ht="15.75">
      <c r="A677" s="243">
        <v>55</v>
      </c>
      <c r="B677" s="251">
        <f t="shared" si="61"/>
        <v>42166</v>
      </c>
      <c r="C677" s="228" t="s">
        <v>195</v>
      </c>
      <c r="D677" s="229" t="s">
        <v>3</v>
      </c>
      <c r="E677" s="230" t="s">
        <v>76</v>
      </c>
      <c r="F677" s="236">
        <v>300000</v>
      </c>
      <c r="G677" s="237" t="s">
        <v>206</v>
      </c>
    </row>
    <row r="678" spans="1:8" ht="15.75">
      <c r="A678" s="243">
        <v>56</v>
      </c>
      <c r="B678" s="251">
        <f t="shared" si="61"/>
        <v>42166</v>
      </c>
      <c r="C678" s="228" t="s">
        <v>195</v>
      </c>
      <c r="D678" s="229" t="s">
        <v>2</v>
      </c>
      <c r="E678" s="230" t="s">
        <v>174</v>
      </c>
      <c r="F678" s="236">
        <v>315000</v>
      </c>
      <c r="G678" s="237" t="s">
        <v>206</v>
      </c>
    </row>
    <row r="679" spans="1:8" ht="25.5">
      <c r="A679" s="243">
        <v>57</v>
      </c>
      <c r="B679" s="251">
        <f t="shared" si="61"/>
        <v>42166</v>
      </c>
      <c r="C679" s="228" t="s">
        <v>195</v>
      </c>
      <c r="D679" s="229" t="s">
        <v>57</v>
      </c>
      <c r="E679" s="230" t="s">
        <v>187</v>
      </c>
      <c r="F679" s="236">
        <v>105000</v>
      </c>
      <c r="G679" s="237" t="s">
        <v>206</v>
      </c>
    </row>
    <row r="680" spans="1:8" ht="15.75">
      <c r="A680" s="243">
        <v>58</v>
      </c>
      <c r="B680" s="251">
        <f t="shared" si="61"/>
        <v>42166</v>
      </c>
      <c r="C680" s="228" t="s">
        <v>195</v>
      </c>
      <c r="D680" s="229" t="s">
        <v>57</v>
      </c>
      <c r="E680" s="230" t="s">
        <v>184</v>
      </c>
      <c r="F680" s="236">
        <v>75000</v>
      </c>
      <c r="G680" s="237" t="s">
        <v>206</v>
      </c>
    </row>
    <row r="681" spans="1:8" ht="15.75">
      <c r="A681" s="243">
        <v>59</v>
      </c>
      <c r="B681" s="251">
        <f t="shared" si="61"/>
        <v>42166</v>
      </c>
      <c r="C681" s="228" t="s">
        <v>195</v>
      </c>
      <c r="D681" s="229"/>
      <c r="E681" s="239" t="s">
        <v>17</v>
      </c>
      <c r="F681" s="236"/>
      <c r="G681" s="237" t="s">
        <v>209</v>
      </c>
    </row>
    <row r="682" spans="1:8" ht="15.75">
      <c r="A682" s="243">
        <v>60</v>
      </c>
      <c r="B682" s="251">
        <f t="shared" si="61"/>
        <v>42166</v>
      </c>
      <c r="C682" s="228" t="s">
        <v>195</v>
      </c>
      <c r="D682" s="229" t="s">
        <v>42</v>
      </c>
      <c r="E682" s="230" t="s">
        <v>364</v>
      </c>
      <c r="F682" s="236">
        <v>10568660.869565219</v>
      </c>
      <c r="G682" s="237" t="s">
        <v>209</v>
      </c>
      <c r="H682" s="238"/>
    </row>
    <row r="683" spans="1:8" ht="15.75">
      <c r="A683" s="243">
        <v>61</v>
      </c>
      <c r="B683" s="251">
        <f t="shared" si="61"/>
        <v>42166</v>
      </c>
      <c r="C683" s="228" t="s">
        <v>195</v>
      </c>
      <c r="D683" s="229" t="s">
        <v>2</v>
      </c>
      <c r="E683" s="230" t="s">
        <v>170</v>
      </c>
      <c r="F683" s="236">
        <v>1170000</v>
      </c>
      <c r="G683" s="237" t="s">
        <v>209</v>
      </c>
    </row>
    <row r="684" spans="1:8" ht="15.75">
      <c r="A684" s="243">
        <v>62</v>
      </c>
      <c r="B684" s="251">
        <f t="shared" si="61"/>
        <v>42166</v>
      </c>
      <c r="C684" s="228" t="s">
        <v>195</v>
      </c>
      <c r="D684" s="229" t="s">
        <v>2</v>
      </c>
      <c r="E684" s="230" t="s">
        <v>81</v>
      </c>
      <c r="F684" s="236">
        <v>207000</v>
      </c>
      <c r="G684" s="237" t="s">
        <v>209</v>
      </c>
    </row>
    <row r="685" spans="1:8" ht="15.75">
      <c r="A685" s="243">
        <v>63</v>
      </c>
      <c r="B685" s="251">
        <f t="shared" si="61"/>
        <v>42166</v>
      </c>
      <c r="C685" s="228" t="s">
        <v>195</v>
      </c>
      <c r="D685" s="229" t="s">
        <v>57</v>
      </c>
      <c r="E685" s="230" t="s">
        <v>79</v>
      </c>
      <c r="F685" s="236">
        <v>200000</v>
      </c>
      <c r="G685" s="237" t="s">
        <v>209</v>
      </c>
    </row>
    <row r="686" spans="1:8" ht="15.75">
      <c r="A686" s="243">
        <v>64</v>
      </c>
      <c r="B686" s="251">
        <f t="shared" si="61"/>
        <v>42166</v>
      </c>
      <c r="C686" s="228" t="s">
        <v>195</v>
      </c>
      <c r="D686" s="229" t="s">
        <v>57</v>
      </c>
      <c r="E686" s="230" t="s">
        <v>188</v>
      </c>
      <c r="F686" s="236">
        <v>70000</v>
      </c>
      <c r="G686" s="237" t="s">
        <v>209</v>
      </c>
    </row>
    <row r="687" spans="1:8" ht="15.75">
      <c r="A687" s="243">
        <v>65</v>
      </c>
      <c r="B687" s="251">
        <f t="shared" si="61"/>
        <v>42166</v>
      </c>
      <c r="C687" s="228" t="s">
        <v>195</v>
      </c>
      <c r="D687" s="229" t="s">
        <v>3</v>
      </c>
      <c r="E687" s="230" t="s">
        <v>76</v>
      </c>
      <c r="F687" s="236">
        <v>300000</v>
      </c>
      <c r="G687" s="237" t="s">
        <v>209</v>
      </c>
    </row>
    <row r="688" spans="1:8" ht="15.75">
      <c r="A688" s="243">
        <v>66</v>
      </c>
      <c r="B688" s="251">
        <f t="shared" si="61"/>
        <v>42166</v>
      </c>
      <c r="C688" s="228" t="s">
        <v>195</v>
      </c>
      <c r="D688" s="229" t="s">
        <v>2</v>
      </c>
      <c r="E688" s="230" t="s">
        <v>357</v>
      </c>
      <c r="F688" s="236">
        <v>8613000</v>
      </c>
      <c r="G688" s="237" t="s">
        <v>209</v>
      </c>
    </row>
    <row r="689" spans="1:8" ht="15.75">
      <c r="A689" s="243">
        <v>67</v>
      </c>
      <c r="B689" s="251">
        <f t="shared" si="61"/>
        <v>42166</v>
      </c>
      <c r="C689" s="228" t="s">
        <v>195</v>
      </c>
      <c r="D689" s="229" t="s">
        <v>57</v>
      </c>
      <c r="E689" s="230" t="s">
        <v>184</v>
      </c>
      <c r="F689" s="236">
        <v>225000</v>
      </c>
      <c r="G689" s="237" t="s">
        <v>209</v>
      </c>
      <c r="H689" s="241"/>
    </row>
    <row r="690" spans="1:8" ht="15.75">
      <c r="A690" s="243">
        <v>68</v>
      </c>
      <c r="B690" s="251">
        <f>B689</f>
        <v>42166</v>
      </c>
      <c r="C690" s="228" t="s">
        <v>195</v>
      </c>
      <c r="D690" s="229" t="s">
        <v>57</v>
      </c>
      <c r="E690" s="230" t="s">
        <v>313</v>
      </c>
      <c r="F690" s="236">
        <v>200000</v>
      </c>
      <c r="G690" s="237" t="str">
        <f>G689</f>
        <v>T. pilihan</v>
      </c>
      <c r="H690" s="241"/>
    </row>
    <row r="691" spans="1:8" ht="15.75">
      <c r="A691" s="243">
        <v>69</v>
      </c>
      <c r="B691" s="251">
        <f>B690+1</f>
        <v>42167</v>
      </c>
      <c r="C691" s="228" t="s">
        <v>195</v>
      </c>
      <c r="D691" s="229"/>
      <c r="E691" s="239" t="s">
        <v>205</v>
      </c>
      <c r="F691" s="236"/>
      <c r="G691" s="237" t="s">
        <v>206</v>
      </c>
      <c r="H691" s="233"/>
    </row>
    <row r="692" spans="1:8" ht="15.75">
      <c r="A692" s="243">
        <v>70</v>
      </c>
      <c r="B692" s="251">
        <f>B691</f>
        <v>42167</v>
      </c>
      <c r="C692" s="228" t="s">
        <v>195</v>
      </c>
      <c r="D692" s="229" t="s">
        <v>2</v>
      </c>
      <c r="E692" s="230" t="s">
        <v>60</v>
      </c>
      <c r="F692" s="236">
        <v>1350000</v>
      </c>
      <c r="G692" s="237" t="s">
        <v>206</v>
      </c>
    </row>
    <row r="693" spans="1:8" ht="15.75">
      <c r="A693" s="243">
        <v>71</v>
      </c>
      <c r="B693" s="251">
        <f t="shared" ref="B693:B706" si="62">B692</f>
        <v>42167</v>
      </c>
      <c r="C693" s="228" t="s">
        <v>195</v>
      </c>
      <c r="D693" s="229" t="s">
        <v>3</v>
      </c>
      <c r="E693" s="230" t="s">
        <v>79</v>
      </c>
      <c r="F693" s="236">
        <v>200000</v>
      </c>
      <c r="G693" s="237" t="s">
        <v>206</v>
      </c>
      <c r="H693" s="226"/>
    </row>
    <row r="694" spans="1:8" ht="15.75">
      <c r="A694" s="243">
        <v>72</v>
      </c>
      <c r="B694" s="251">
        <f t="shared" si="62"/>
        <v>42167</v>
      </c>
      <c r="C694" s="228" t="s">
        <v>195</v>
      </c>
      <c r="D694" s="229" t="s">
        <v>3</v>
      </c>
      <c r="E694" s="230" t="s">
        <v>76</v>
      </c>
      <c r="F694" s="236">
        <v>300000</v>
      </c>
      <c r="G694" s="237" t="s">
        <v>206</v>
      </c>
    </row>
    <row r="695" spans="1:8" ht="15.75">
      <c r="A695" s="243">
        <v>73</v>
      </c>
      <c r="B695" s="251">
        <f t="shared" si="62"/>
        <v>42167</v>
      </c>
      <c r="C695" s="228" t="s">
        <v>195</v>
      </c>
      <c r="D695" s="229" t="s">
        <v>2</v>
      </c>
      <c r="E695" s="230" t="s">
        <v>174</v>
      </c>
      <c r="F695" s="236">
        <v>315000</v>
      </c>
      <c r="G695" s="237" t="s">
        <v>206</v>
      </c>
    </row>
    <row r="696" spans="1:8" ht="25.5">
      <c r="A696" s="243">
        <v>74</v>
      </c>
      <c r="B696" s="251">
        <f t="shared" si="62"/>
        <v>42167</v>
      </c>
      <c r="C696" s="228" t="s">
        <v>195</v>
      </c>
      <c r="D696" s="229" t="s">
        <v>57</v>
      </c>
      <c r="E696" s="230" t="s">
        <v>187</v>
      </c>
      <c r="F696" s="236">
        <v>105000</v>
      </c>
      <c r="G696" s="237" t="s">
        <v>206</v>
      </c>
    </row>
    <row r="697" spans="1:8" ht="15.75">
      <c r="A697" s="243">
        <v>75</v>
      </c>
      <c r="B697" s="251">
        <f t="shared" si="62"/>
        <v>42167</v>
      </c>
      <c r="C697" s="228" t="s">
        <v>195</v>
      </c>
      <c r="D697" s="229" t="s">
        <v>57</v>
      </c>
      <c r="E697" s="230" t="s">
        <v>184</v>
      </c>
      <c r="F697" s="236">
        <v>75000</v>
      </c>
      <c r="G697" s="237" t="s">
        <v>206</v>
      </c>
      <c r="H697" s="279">
        <f>SUBTOTAL(9,F211:F697)</f>
        <v>1238313954.347827</v>
      </c>
    </row>
    <row r="698" spans="1:8" ht="15.75">
      <c r="A698" s="243">
        <v>76</v>
      </c>
      <c r="B698" s="251">
        <f t="shared" si="62"/>
        <v>42167</v>
      </c>
      <c r="C698" s="228" t="s">
        <v>195</v>
      </c>
      <c r="D698" s="229"/>
      <c r="E698" s="239" t="s">
        <v>17</v>
      </c>
      <c r="F698" s="236"/>
      <c r="G698" s="237" t="s">
        <v>209</v>
      </c>
    </row>
    <row r="699" spans="1:8" ht="15.75">
      <c r="A699" s="243">
        <v>77</v>
      </c>
      <c r="B699" s="251">
        <f t="shared" si="62"/>
        <v>42167</v>
      </c>
      <c r="C699" s="228" t="s">
        <v>195</v>
      </c>
      <c r="D699" s="229" t="s">
        <v>42</v>
      </c>
      <c r="E699" s="230" t="s">
        <v>364</v>
      </c>
      <c r="F699" s="236">
        <v>10568660.869565219</v>
      </c>
      <c r="G699" s="237" t="s">
        <v>209</v>
      </c>
    </row>
    <row r="700" spans="1:8" ht="15.75">
      <c r="A700" s="243">
        <v>78</v>
      </c>
      <c r="B700" s="251">
        <f t="shared" si="62"/>
        <v>42167</v>
      </c>
      <c r="C700" s="228" t="s">
        <v>195</v>
      </c>
      <c r="D700" s="229" t="s">
        <v>2</v>
      </c>
      <c r="E700" s="230" t="s">
        <v>170</v>
      </c>
      <c r="F700" s="236">
        <v>1170000</v>
      </c>
      <c r="G700" s="237" t="s">
        <v>209</v>
      </c>
    </row>
    <row r="701" spans="1:8" ht="15.75">
      <c r="A701" s="243">
        <v>79</v>
      </c>
      <c r="B701" s="251">
        <f t="shared" si="62"/>
        <v>42167</v>
      </c>
      <c r="C701" s="228" t="s">
        <v>195</v>
      </c>
      <c r="D701" s="229" t="s">
        <v>2</v>
      </c>
      <c r="E701" s="230" t="s">
        <v>81</v>
      </c>
      <c r="F701" s="236">
        <v>207000</v>
      </c>
      <c r="G701" s="237" t="s">
        <v>209</v>
      </c>
    </row>
    <row r="702" spans="1:8" ht="15.75">
      <c r="A702" s="243">
        <v>80</v>
      </c>
      <c r="B702" s="251">
        <f t="shared" si="62"/>
        <v>42167</v>
      </c>
      <c r="C702" s="228" t="s">
        <v>195</v>
      </c>
      <c r="D702" s="229" t="s">
        <v>57</v>
      </c>
      <c r="E702" s="230" t="s">
        <v>79</v>
      </c>
      <c r="F702" s="236">
        <v>200000</v>
      </c>
      <c r="G702" s="237" t="s">
        <v>209</v>
      </c>
    </row>
    <row r="703" spans="1:8" ht="15.75">
      <c r="A703" s="243">
        <v>81</v>
      </c>
      <c r="B703" s="251">
        <f t="shared" si="62"/>
        <v>42167</v>
      </c>
      <c r="C703" s="228" t="s">
        <v>195</v>
      </c>
      <c r="D703" s="229" t="s">
        <v>57</v>
      </c>
      <c r="E703" s="230" t="s">
        <v>188</v>
      </c>
      <c r="F703" s="236">
        <v>70000</v>
      </c>
      <c r="G703" s="237" t="s">
        <v>209</v>
      </c>
    </row>
    <row r="704" spans="1:8" ht="15.75">
      <c r="A704" s="243">
        <v>82</v>
      </c>
      <c r="B704" s="251">
        <f t="shared" si="62"/>
        <v>42167</v>
      </c>
      <c r="C704" s="228" t="s">
        <v>195</v>
      </c>
      <c r="D704" s="229" t="s">
        <v>3</v>
      </c>
      <c r="E704" s="230" t="s">
        <v>76</v>
      </c>
      <c r="F704" s="236">
        <v>300000</v>
      </c>
      <c r="G704" s="237" t="s">
        <v>209</v>
      </c>
    </row>
    <row r="705" spans="1:8" ht="15.75">
      <c r="A705" s="243">
        <v>83</v>
      </c>
      <c r="B705" s="251">
        <f t="shared" si="62"/>
        <v>42167</v>
      </c>
      <c r="C705" s="228" t="s">
        <v>195</v>
      </c>
      <c r="D705" s="229" t="s">
        <v>2</v>
      </c>
      <c r="E705" s="230" t="s">
        <v>357</v>
      </c>
      <c r="F705" s="236">
        <v>8613000</v>
      </c>
      <c r="G705" s="237" t="s">
        <v>209</v>
      </c>
    </row>
    <row r="706" spans="1:8" ht="15.75">
      <c r="A706" s="243">
        <v>84</v>
      </c>
      <c r="B706" s="251">
        <f t="shared" si="62"/>
        <v>42167</v>
      </c>
      <c r="C706" s="228" t="s">
        <v>195</v>
      </c>
      <c r="D706" s="229" t="s">
        <v>57</v>
      </c>
      <c r="E706" s="230" t="s">
        <v>184</v>
      </c>
      <c r="F706" s="236">
        <v>225000</v>
      </c>
      <c r="G706" s="237" t="s">
        <v>209</v>
      </c>
      <c r="H706" s="241"/>
    </row>
    <row r="707" spans="1:8" ht="15.75">
      <c r="A707" s="243">
        <v>85</v>
      </c>
      <c r="B707" s="251">
        <f>B706</f>
        <v>42167</v>
      </c>
      <c r="C707" s="228" t="s">
        <v>195</v>
      </c>
      <c r="D707" s="229" t="s">
        <v>57</v>
      </c>
      <c r="E707" s="230" t="s">
        <v>313</v>
      </c>
      <c r="F707" s="236">
        <v>200000</v>
      </c>
      <c r="G707" s="237" t="str">
        <f>G706</f>
        <v>T. pilihan</v>
      </c>
    </row>
    <row r="708" spans="1:8" ht="15.75">
      <c r="A708" s="243">
        <v>93</v>
      </c>
      <c r="B708" s="251">
        <f>B707+1</f>
        <v>42168</v>
      </c>
      <c r="C708" s="228" t="s">
        <v>195</v>
      </c>
      <c r="D708" s="229"/>
      <c r="E708" s="239" t="s">
        <v>17</v>
      </c>
      <c r="F708" s="236"/>
      <c r="G708" s="237" t="s">
        <v>209</v>
      </c>
    </row>
    <row r="709" spans="1:8" ht="15.75">
      <c r="A709" s="243">
        <v>94</v>
      </c>
      <c r="B709" s="251">
        <f t="shared" ref="B709:B716" si="63">B708</f>
        <v>42168</v>
      </c>
      <c r="C709" s="228" t="s">
        <v>195</v>
      </c>
      <c r="D709" s="229" t="s">
        <v>42</v>
      </c>
      <c r="E709" s="230" t="s">
        <v>364</v>
      </c>
      <c r="F709" s="236">
        <v>10568660.869565219</v>
      </c>
      <c r="G709" s="237" t="s">
        <v>209</v>
      </c>
    </row>
    <row r="710" spans="1:8" ht="15.75">
      <c r="A710" s="243">
        <v>95</v>
      </c>
      <c r="B710" s="251">
        <f t="shared" si="63"/>
        <v>42168</v>
      </c>
      <c r="C710" s="228" t="s">
        <v>195</v>
      </c>
      <c r="D710" s="229" t="s">
        <v>2</v>
      </c>
      <c r="E710" s="230" t="s">
        <v>170</v>
      </c>
      <c r="F710" s="236">
        <v>1170000</v>
      </c>
      <c r="G710" s="237" t="s">
        <v>209</v>
      </c>
    </row>
    <row r="711" spans="1:8" ht="15.75">
      <c r="A711" s="243">
        <v>96</v>
      </c>
      <c r="B711" s="251">
        <f t="shared" si="63"/>
        <v>42168</v>
      </c>
      <c r="C711" s="228" t="s">
        <v>195</v>
      </c>
      <c r="D711" s="229" t="s">
        <v>2</v>
      </c>
      <c r="E711" s="230" t="s">
        <v>81</v>
      </c>
      <c r="F711" s="236">
        <v>207000</v>
      </c>
      <c r="G711" s="237" t="s">
        <v>209</v>
      </c>
    </row>
    <row r="712" spans="1:8" ht="15.75">
      <c r="A712" s="243">
        <v>97</v>
      </c>
      <c r="B712" s="251">
        <f t="shared" si="63"/>
        <v>42168</v>
      </c>
      <c r="C712" s="228" t="s">
        <v>195</v>
      </c>
      <c r="D712" s="229" t="s">
        <v>57</v>
      </c>
      <c r="E712" s="230" t="s">
        <v>79</v>
      </c>
      <c r="F712" s="236">
        <v>200000</v>
      </c>
      <c r="G712" s="237" t="s">
        <v>209</v>
      </c>
      <c r="H712" s="241"/>
    </row>
    <row r="713" spans="1:8" ht="15.75">
      <c r="A713" s="243">
        <v>98</v>
      </c>
      <c r="B713" s="251">
        <f t="shared" si="63"/>
        <v>42168</v>
      </c>
      <c r="C713" s="228" t="s">
        <v>195</v>
      </c>
      <c r="D713" s="229" t="s">
        <v>57</v>
      </c>
      <c r="E713" s="230" t="s">
        <v>188</v>
      </c>
      <c r="F713" s="236">
        <v>70000</v>
      </c>
      <c r="G713" s="237" t="s">
        <v>209</v>
      </c>
      <c r="H713" s="241"/>
    </row>
    <row r="714" spans="1:8" ht="15.75">
      <c r="A714" s="243">
        <v>99</v>
      </c>
      <c r="B714" s="251">
        <f t="shared" si="63"/>
        <v>42168</v>
      </c>
      <c r="C714" s="228" t="s">
        <v>195</v>
      </c>
      <c r="D714" s="229" t="s">
        <v>3</v>
      </c>
      <c r="E714" s="230" t="s">
        <v>76</v>
      </c>
      <c r="F714" s="236">
        <v>300000</v>
      </c>
      <c r="G714" s="237" t="s">
        <v>209</v>
      </c>
      <c r="H714" s="233"/>
    </row>
    <row r="715" spans="1:8" ht="15.75">
      <c r="A715" s="243">
        <v>100</v>
      </c>
      <c r="B715" s="251">
        <f t="shared" si="63"/>
        <v>42168</v>
      </c>
      <c r="C715" s="228" t="s">
        <v>195</v>
      </c>
      <c r="D715" s="229" t="s">
        <v>2</v>
      </c>
      <c r="E715" s="230" t="s">
        <v>357</v>
      </c>
      <c r="F715" s="236">
        <v>8613000</v>
      </c>
      <c r="G715" s="237" t="s">
        <v>209</v>
      </c>
    </row>
    <row r="716" spans="1:8" ht="15.75">
      <c r="A716" s="243">
        <v>101</v>
      </c>
      <c r="B716" s="251">
        <f t="shared" si="63"/>
        <v>42168</v>
      </c>
      <c r="C716" s="228" t="s">
        <v>195</v>
      </c>
      <c r="D716" s="229" t="s">
        <v>57</v>
      </c>
      <c r="E716" s="230" t="s">
        <v>184</v>
      </c>
      <c r="F716" s="236">
        <v>225000</v>
      </c>
      <c r="G716" s="237" t="s">
        <v>209</v>
      </c>
      <c r="H716" s="226"/>
    </row>
    <row r="717" spans="1:8" ht="15.75">
      <c r="A717" s="243">
        <v>102</v>
      </c>
      <c r="B717" s="251">
        <f>B716</f>
        <v>42168</v>
      </c>
      <c r="C717" s="228" t="s">
        <v>195</v>
      </c>
      <c r="D717" s="229" t="s">
        <v>57</v>
      </c>
      <c r="E717" s="230" t="s">
        <v>313</v>
      </c>
      <c r="F717" s="236">
        <v>200000</v>
      </c>
      <c r="G717" s="237" t="str">
        <f>G716</f>
        <v>T. pilihan</v>
      </c>
    </row>
    <row r="718" spans="1:8" ht="15.75">
      <c r="A718" s="243">
        <v>110</v>
      </c>
      <c r="B718" s="251">
        <f>B717+1</f>
        <v>42169</v>
      </c>
      <c r="C718" s="228" t="s">
        <v>195</v>
      </c>
      <c r="D718" s="229"/>
      <c r="E718" s="239" t="s">
        <v>17</v>
      </c>
      <c r="F718" s="236"/>
      <c r="G718" s="237" t="s">
        <v>209</v>
      </c>
    </row>
    <row r="719" spans="1:8" ht="15.75">
      <c r="A719" s="243">
        <v>111</v>
      </c>
      <c r="B719" s="251">
        <f t="shared" ref="B719:B726" si="64">B718</f>
        <v>42169</v>
      </c>
      <c r="C719" s="228" t="s">
        <v>195</v>
      </c>
      <c r="D719" s="229" t="s">
        <v>42</v>
      </c>
      <c r="E719" s="230" t="s">
        <v>364</v>
      </c>
      <c r="F719" s="236">
        <v>10568660.869565219</v>
      </c>
      <c r="G719" s="237" t="s">
        <v>209</v>
      </c>
    </row>
    <row r="720" spans="1:8" ht="15.75">
      <c r="A720" s="243">
        <v>112</v>
      </c>
      <c r="B720" s="251">
        <f t="shared" si="64"/>
        <v>42169</v>
      </c>
      <c r="C720" s="228" t="s">
        <v>195</v>
      </c>
      <c r="D720" s="229" t="s">
        <v>2</v>
      </c>
      <c r="E720" s="230" t="s">
        <v>170</v>
      </c>
      <c r="F720" s="236">
        <v>1170000</v>
      </c>
      <c r="G720" s="237" t="s">
        <v>209</v>
      </c>
    </row>
    <row r="721" spans="1:8" ht="15.75">
      <c r="A721" s="243">
        <v>113</v>
      </c>
      <c r="B721" s="251">
        <f t="shared" si="64"/>
        <v>42169</v>
      </c>
      <c r="C721" s="228" t="s">
        <v>195</v>
      </c>
      <c r="D721" s="229" t="s">
        <v>2</v>
      </c>
      <c r="E721" s="230" t="s">
        <v>81</v>
      </c>
      <c r="F721" s="236">
        <v>207000</v>
      </c>
      <c r="G721" s="237" t="s">
        <v>209</v>
      </c>
    </row>
    <row r="722" spans="1:8" ht="15.75">
      <c r="A722" s="243">
        <v>114</v>
      </c>
      <c r="B722" s="251">
        <f t="shared" si="64"/>
        <v>42169</v>
      </c>
      <c r="C722" s="228" t="s">
        <v>195</v>
      </c>
      <c r="D722" s="229" t="s">
        <v>57</v>
      </c>
      <c r="E722" s="230" t="s">
        <v>79</v>
      </c>
      <c r="F722" s="236">
        <v>200000</v>
      </c>
      <c r="G722" s="237" t="s">
        <v>209</v>
      </c>
      <c r="H722" s="241"/>
    </row>
    <row r="723" spans="1:8" ht="15.75">
      <c r="A723" s="243">
        <v>115</v>
      </c>
      <c r="B723" s="251">
        <f t="shared" si="64"/>
        <v>42169</v>
      </c>
      <c r="C723" s="228" t="s">
        <v>195</v>
      </c>
      <c r="D723" s="229" t="s">
        <v>57</v>
      </c>
      <c r="E723" s="230" t="s">
        <v>188</v>
      </c>
      <c r="F723" s="236">
        <v>70000</v>
      </c>
      <c r="G723" s="237" t="s">
        <v>209</v>
      </c>
    </row>
    <row r="724" spans="1:8" ht="15.75">
      <c r="A724" s="243">
        <v>116</v>
      </c>
      <c r="B724" s="251">
        <f t="shared" si="64"/>
        <v>42169</v>
      </c>
      <c r="C724" s="228" t="s">
        <v>195</v>
      </c>
      <c r="D724" s="229" t="s">
        <v>3</v>
      </c>
      <c r="E724" s="230" t="s">
        <v>76</v>
      </c>
      <c r="F724" s="236">
        <v>300000</v>
      </c>
      <c r="G724" s="237" t="s">
        <v>209</v>
      </c>
    </row>
    <row r="725" spans="1:8" ht="15.75">
      <c r="A725" s="243">
        <v>117</v>
      </c>
      <c r="B725" s="251">
        <f t="shared" si="64"/>
        <v>42169</v>
      </c>
      <c r="C725" s="228" t="s">
        <v>195</v>
      </c>
      <c r="D725" s="229" t="s">
        <v>2</v>
      </c>
      <c r="E725" s="230" t="s">
        <v>357</v>
      </c>
      <c r="F725" s="236">
        <v>8613000</v>
      </c>
      <c r="G725" s="237" t="s">
        <v>209</v>
      </c>
    </row>
    <row r="726" spans="1:8" ht="15.75">
      <c r="A726" s="243">
        <v>118</v>
      </c>
      <c r="B726" s="251">
        <f t="shared" si="64"/>
        <v>42169</v>
      </c>
      <c r="C726" s="228" t="s">
        <v>195</v>
      </c>
      <c r="D726" s="229" t="s">
        <v>57</v>
      </c>
      <c r="E726" s="230" t="s">
        <v>184</v>
      </c>
      <c r="F726" s="236">
        <v>225000</v>
      </c>
      <c r="G726" s="237" t="s">
        <v>209</v>
      </c>
    </row>
    <row r="727" spans="1:8" ht="15.75">
      <c r="A727" s="243">
        <v>119</v>
      </c>
      <c r="B727" s="251">
        <f>B726</f>
        <v>42169</v>
      </c>
      <c r="C727" s="228" t="s">
        <v>195</v>
      </c>
      <c r="D727" s="229" t="s">
        <v>57</v>
      </c>
      <c r="E727" s="230" t="s">
        <v>313</v>
      </c>
      <c r="F727" s="236">
        <v>200000</v>
      </c>
      <c r="G727" s="237" t="str">
        <f>G726</f>
        <v>T. pilihan</v>
      </c>
    </row>
    <row r="728" spans="1:8" ht="15.75">
      <c r="A728" s="243">
        <v>127</v>
      </c>
      <c r="B728" s="251">
        <f>B727+1</f>
        <v>42170</v>
      </c>
      <c r="C728" s="228" t="s">
        <v>195</v>
      </c>
      <c r="D728" s="229"/>
      <c r="E728" s="239" t="s">
        <v>17</v>
      </c>
      <c r="F728" s="236"/>
      <c r="G728" s="237" t="s">
        <v>209</v>
      </c>
      <c r="H728" s="241"/>
    </row>
    <row r="729" spans="1:8" ht="15.75">
      <c r="A729" s="243">
        <v>128</v>
      </c>
      <c r="B729" s="251">
        <f t="shared" ref="B729:B736" si="65">B728</f>
        <v>42170</v>
      </c>
      <c r="C729" s="228" t="s">
        <v>195</v>
      </c>
      <c r="D729" s="229" t="s">
        <v>42</v>
      </c>
      <c r="E729" s="230" t="s">
        <v>364</v>
      </c>
      <c r="F729" s="236">
        <v>10568660.869565219</v>
      </c>
      <c r="G729" s="237" t="s">
        <v>209</v>
      </c>
      <c r="H729" s="241"/>
    </row>
    <row r="730" spans="1:8" ht="15.75">
      <c r="A730" s="243">
        <v>129</v>
      </c>
      <c r="B730" s="251">
        <f t="shared" si="65"/>
        <v>42170</v>
      </c>
      <c r="C730" s="228" t="s">
        <v>195</v>
      </c>
      <c r="D730" s="229" t="s">
        <v>2</v>
      </c>
      <c r="E730" s="230" t="s">
        <v>170</v>
      </c>
      <c r="F730" s="236">
        <v>1170000</v>
      </c>
      <c r="G730" s="237" t="s">
        <v>209</v>
      </c>
      <c r="H730" s="233"/>
    </row>
    <row r="731" spans="1:8" ht="15.75">
      <c r="A731" s="243">
        <v>130</v>
      </c>
      <c r="B731" s="251">
        <f t="shared" si="65"/>
        <v>42170</v>
      </c>
      <c r="C731" s="228" t="s">
        <v>195</v>
      </c>
      <c r="D731" s="229" t="s">
        <v>2</v>
      </c>
      <c r="E731" s="230" t="s">
        <v>81</v>
      </c>
      <c r="F731" s="236">
        <v>207000</v>
      </c>
      <c r="G731" s="237" t="s">
        <v>209</v>
      </c>
    </row>
    <row r="732" spans="1:8" ht="15.75">
      <c r="A732" s="243">
        <v>131</v>
      </c>
      <c r="B732" s="251">
        <f t="shared" si="65"/>
        <v>42170</v>
      </c>
      <c r="C732" s="228" t="s">
        <v>195</v>
      </c>
      <c r="D732" s="229" t="s">
        <v>57</v>
      </c>
      <c r="E732" s="230" t="s">
        <v>79</v>
      </c>
      <c r="F732" s="236">
        <v>200000</v>
      </c>
      <c r="G732" s="237" t="s">
        <v>209</v>
      </c>
      <c r="H732" s="226"/>
    </row>
    <row r="733" spans="1:8" ht="15.75">
      <c r="A733" s="243">
        <v>132</v>
      </c>
      <c r="B733" s="251">
        <f t="shared" si="65"/>
        <v>42170</v>
      </c>
      <c r="C733" s="228" t="s">
        <v>195</v>
      </c>
      <c r="D733" s="229" t="s">
        <v>57</v>
      </c>
      <c r="E733" s="230" t="s">
        <v>188</v>
      </c>
      <c r="F733" s="236">
        <v>70000</v>
      </c>
      <c r="G733" s="237" t="s">
        <v>209</v>
      </c>
    </row>
    <row r="734" spans="1:8" ht="15.75">
      <c r="A734" s="243">
        <v>133</v>
      </c>
      <c r="B734" s="251">
        <f t="shared" si="65"/>
        <v>42170</v>
      </c>
      <c r="C734" s="228" t="s">
        <v>195</v>
      </c>
      <c r="D734" s="229" t="s">
        <v>3</v>
      </c>
      <c r="E734" s="230" t="s">
        <v>76</v>
      </c>
      <c r="F734" s="236">
        <v>300000</v>
      </c>
      <c r="G734" s="237" t="s">
        <v>209</v>
      </c>
    </row>
    <row r="735" spans="1:8" ht="15.75">
      <c r="A735" s="243">
        <v>134</v>
      </c>
      <c r="B735" s="251">
        <f t="shared" si="65"/>
        <v>42170</v>
      </c>
      <c r="C735" s="228" t="s">
        <v>195</v>
      </c>
      <c r="D735" s="229" t="s">
        <v>2</v>
      </c>
      <c r="E735" s="230" t="s">
        <v>357</v>
      </c>
      <c r="F735" s="236">
        <v>8613000</v>
      </c>
      <c r="G735" s="237" t="s">
        <v>209</v>
      </c>
    </row>
    <row r="736" spans="1:8" ht="15.75">
      <c r="A736" s="243">
        <v>135</v>
      </c>
      <c r="B736" s="251">
        <f t="shared" si="65"/>
        <v>42170</v>
      </c>
      <c r="C736" s="228" t="s">
        <v>195</v>
      </c>
      <c r="D736" s="229" t="s">
        <v>57</v>
      </c>
      <c r="E736" s="230" t="s">
        <v>184</v>
      </c>
      <c r="F736" s="236">
        <v>225000</v>
      </c>
      <c r="G736" s="237" t="s">
        <v>209</v>
      </c>
    </row>
    <row r="737" spans="1:8" ht="15.75">
      <c r="A737" s="243">
        <v>136</v>
      </c>
      <c r="B737" s="251">
        <f>B736</f>
        <v>42170</v>
      </c>
      <c r="C737" s="228" t="s">
        <v>195</v>
      </c>
      <c r="D737" s="229" t="s">
        <v>57</v>
      </c>
      <c r="E737" s="230" t="s">
        <v>313</v>
      </c>
      <c r="F737" s="236">
        <v>200000</v>
      </c>
      <c r="G737" s="237" t="str">
        <f>G736</f>
        <v>T. pilihan</v>
      </c>
    </row>
    <row r="738" spans="1:8" ht="15.75">
      <c r="A738" s="243">
        <v>144</v>
      </c>
      <c r="B738" s="251">
        <f>B737+1</f>
        <v>42171</v>
      </c>
      <c r="C738" s="228" t="s">
        <v>195</v>
      </c>
      <c r="D738" s="229"/>
      <c r="E738" s="239" t="s">
        <v>17</v>
      </c>
      <c r="F738" s="236"/>
      <c r="G738" s="237" t="s">
        <v>209</v>
      </c>
      <c r="H738" s="241"/>
    </row>
    <row r="739" spans="1:8" ht="15.75">
      <c r="A739" s="243">
        <v>145</v>
      </c>
      <c r="B739" s="251">
        <f t="shared" ref="B739:B746" si="66">B738</f>
        <v>42171</v>
      </c>
      <c r="C739" s="228" t="s">
        <v>195</v>
      </c>
      <c r="D739" s="229" t="s">
        <v>42</v>
      </c>
      <c r="E739" s="230" t="s">
        <v>364</v>
      </c>
      <c r="F739" s="236">
        <v>10568660.869565219</v>
      </c>
      <c r="G739" s="237" t="s">
        <v>209</v>
      </c>
    </row>
    <row r="740" spans="1:8" ht="15.75">
      <c r="A740" s="243">
        <v>146</v>
      </c>
      <c r="B740" s="251">
        <f t="shared" si="66"/>
        <v>42171</v>
      </c>
      <c r="C740" s="228" t="s">
        <v>195</v>
      </c>
      <c r="D740" s="229" t="s">
        <v>2</v>
      </c>
      <c r="E740" s="230" t="s">
        <v>170</v>
      </c>
      <c r="F740" s="236">
        <v>1170000</v>
      </c>
      <c r="G740" s="237" t="s">
        <v>209</v>
      </c>
    </row>
    <row r="741" spans="1:8" ht="15.75">
      <c r="A741" s="243">
        <v>147</v>
      </c>
      <c r="B741" s="251">
        <f t="shared" si="66"/>
        <v>42171</v>
      </c>
      <c r="C741" s="228" t="s">
        <v>195</v>
      </c>
      <c r="D741" s="229" t="s">
        <v>2</v>
      </c>
      <c r="E741" s="230" t="s">
        <v>81</v>
      </c>
      <c r="F741" s="236">
        <v>207000</v>
      </c>
      <c r="G741" s="237" t="s">
        <v>209</v>
      </c>
    </row>
    <row r="742" spans="1:8" ht="15.75">
      <c r="A742" s="243">
        <v>148</v>
      </c>
      <c r="B742" s="251">
        <f t="shared" si="66"/>
        <v>42171</v>
      </c>
      <c r="C742" s="228" t="s">
        <v>195</v>
      </c>
      <c r="D742" s="229" t="s">
        <v>57</v>
      </c>
      <c r="E742" s="230" t="s">
        <v>79</v>
      </c>
      <c r="F742" s="236">
        <v>200000</v>
      </c>
      <c r="G742" s="237" t="s">
        <v>209</v>
      </c>
    </row>
    <row r="743" spans="1:8" ht="15.75">
      <c r="A743" s="243">
        <v>149</v>
      </c>
      <c r="B743" s="251">
        <f t="shared" si="66"/>
        <v>42171</v>
      </c>
      <c r="C743" s="228" t="s">
        <v>195</v>
      </c>
      <c r="D743" s="229" t="s">
        <v>57</v>
      </c>
      <c r="E743" s="230" t="s">
        <v>188</v>
      </c>
      <c r="F743" s="236">
        <v>70000</v>
      </c>
      <c r="G743" s="237" t="s">
        <v>209</v>
      </c>
    </row>
    <row r="744" spans="1:8" ht="15.75">
      <c r="A744" s="243">
        <v>150</v>
      </c>
      <c r="B744" s="251">
        <f t="shared" si="66"/>
        <v>42171</v>
      </c>
      <c r="C744" s="228" t="s">
        <v>195</v>
      </c>
      <c r="D744" s="229" t="s">
        <v>3</v>
      </c>
      <c r="E744" s="230" t="s">
        <v>76</v>
      </c>
      <c r="F744" s="236">
        <v>300000</v>
      </c>
      <c r="G744" s="237" t="s">
        <v>209</v>
      </c>
      <c r="H744" s="238"/>
    </row>
    <row r="745" spans="1:8" ht="15.75">
      <c r="A745" s="243">
        <v>151</v>
      </c>
      <c r="B745" s="251">
        <f t="shared" si="66"/>
        <v>42171</v>
      </c>
      <c r="C745" s="228" t="s">
        <v>195</v>
      </c>
      <c r="D745" s="229" t="s">
        <v>2</v>
      </c>
      <c r="E745" s="230" t="s">
        <v>357</v>
      </c>
      <c r="F745" s="236">
        <v>8613000</v>
      </c>
      <c r="G745" s="237" t="s">
        <v>209</v>
      </c>
    </row>
    <row r="746" spans="1:8" ht="15.75">
      <c r="A746" s="243">
        <v>152</v>
      </c>
      <c r="B746" s="251">
        <f t="shared" si="66"/>
        <v>42171</v>
      </c>
      <c r="C746" s="228" t="s">
        <v>195</v>
      </c>
      <c r="D746" s="229" t="s">
        <v>57</v>
      </c>
      <c r="E746" s="230" t="s">
        <v>184</v>
      </c>
      <c r="F746" s="236">
        <v>225000</v>
      </c>
      <c r="G746" s="237" t="s">
        <v>209</v>
      </c>
    </row>
    <row r="747" spans="1:8" ht="15.75">
      <c r="A747" s="243">
        <v>153</v>
      </c>
      <c r="B747" s="251">
        <f>B746</f>
        <v>42171</v>
      </c>
      <c r="C747" s="228" t="s">
        <v>195</v>
      </c>
      <c r="D747" s="229" t="s">
        <v>57</v>
      </c>
      <c r="E747" s="230" t="s">
        <v>313</v>
      </c>
      <c r="F747" s="236">
        <v>200000</v>
      </c>
      <c r="G747" s="237" t="str">
        <f>G746</f>
        <v>T. pilihan</v>
      </c>
    </row>
    <row r="748" spans="1:8" ht="15.75">
      <c r="A748" s="243">
        <v>161</v>
      </c>
      <c r="B748" s="251">
        <f>B747+1</f>
        <v>42172</v>
      </c>
      <c r="C748" s="228" t="s">
        <v>195</v>
      </c>
      <c r="D748" s="229"/>
      <c r="E748" s="239" t="s">
        <v>17</v>
      </c>
      <c r="F748" s="236"/>
      <c r="G748" s="237" t="s">
        <v>209</v>
      </c>
      <c r="H748" s="226"/>
    </row>
    <row r="749" spans="1:8" ht="15.75">
      <c r="A749" s="243">
        <v>162</v>
      </c>
      <c r="B749" s="251">
        <f t="shared" ref="B749:B756" si="67">B748</f>
        <v>42172</v>
      </c>
      <c r="C749" s="228" t="s">
        <v>195</v>
      </c>
      <c r="D749" s="229" t="s">
        <v>42</v>
      </c>
      <c r="E749" s="230" t="s">
        <v>364</v>
      </c>
      <c r="F749" s="236">
        <v>10568660.869565219</v>
      </c>
      <c r="G749" s="237" t="s">
        <v>209</v>
      </c>
    </row>
    <row r="750" spans="1:8" ht="15.75">
      <c r="A750" s="243">
        <v>163</v>
      </c>
      <c r="B750" s="251">
        <f t="shared" si="67"/>
        <v>42172</v>
      </c>
      <c r="C750" s="228" t="s">
        <v>195</v>
      </c>
      <c r="D750" s="229" t="s">
        <v>2</v>
      </c>
      <c r="E750" s="230" t="s">
        <v>170</v>
      </c>
      <c r="F750" s="236">
        <v>1170000</v>
      </c>
      <c r="G750" s="237" t="s">
        <v>209</v>
      </c>
    </row>
    <row r="751" spans="1:8" ht="15.75">
      <c r="A751" s="243">
        <v>164</v>
      </c>
      <c r="B751" s="251">
        <f t="shared" si="67"/>
        <v>42172</v>
      </c>
      <c r="C751" s="228" t="s">
        <v>195</v>
      </c>
      <c r="D751" s="229" t="s">
        <v>2</v>
      </c>
      <c r="E751" s="230" t="s">
        <v>81</v>
      </c>
      <c r="F751" s="236">
        <v>207000</v>
      </c>
      <c r="G751" s="237" t="s">
        <v>209</v>
      </c>
    </row>
    <row r="752" spans="1:8" ht="15.75">
      <c r="A752" s="243">
        <v>165</v>
      </c>
      <c r="B752" s="251">
        <f t="shared" si="67"/>
        <v>42172</v>
      </c>
      <c r="C752" s="228" t="s">
        <v>195</v>
      </c>
      <c r="D752" s="229" t="s">
        <v>57</v>
      </c>
      <c r="E752" s="230" t="s">
        <v>79</v>
      </c>
      <c r="F752" s="236">
        <v>200000</v>
      </c>
      <c r="G752" s="237" t="s">
        <v>209</v>
      </c>
    </row>
    <row r="753" spans="1:8" ht="15.75">
      <c r="A753" s="243">
        <v>166</v>
      </c>
      <c r="B753" s="251">
        <f t="shared" si="67"/>
        <v>42172</v>
      </c>
      <c r="C753" s="228" t="s">
        <v>195</v>
      </c>
      <c r="D753" s="229" t="s">
        <v>57</v>
      </c>
      <c r="E753" s="230" t="s">
        <v>188</v>
      </c>
      <c r="F753" s="236">
        <v>70000</v>
      </c>
      <c r="G753" s="237" t="s">
        <v>209</v>
      </c>
    </row>
    <row r="754" spans="1:8" ht="15.75">
      <c r="A754" s="243">
        <v>167</v>
      </c>
      <c r="B754" s="251">
        <f t="shared" si="67"/>
        <v>42172</v>
      </c>
      <c r="C754" s="228" t="s">
        <v>195</v>
      </c>
      <c r="D754" s="229" t="s">
        <v>3</v>
      </c>
      <c r="E754" s="230" t="s">
        <v>76</v>
      </c>
      <c r="F754" s="236">
        <v>300000</v>
      </c>
      <c r="G754" s="237" t="s">
        <v>209</v>
      </c>
    </row>
    <row r="755" spans="1:8" ht="15.75">
      <c r="A755" s="243">
        <v>168</v>
      </c>
      <c r="B755" s="251">
        <f t="shared" si="67"/>
        <v>42172</v>
      </c>
      <c r="C755" s="228" t="s">
        <v>195</v>
      </c>
      <c r="D755" s="229" t="s">
        <v>2</v>
      </c>
      <c r="E755" s="230" t="s">
        <v>357</v>
      </c>
      <c r="F755" s="236">
        <v>8613000</v>
      </c>
      <c r="G755" s="237" t="s">
        <v>209</v>
      </c>
    </row>
    <row r="756" spans="1:8" ht="15.75">
      <c r="A756" s="243">
        <v>169</v>
      </c>
      <c r="B756" s="251">
        <f t="shared" si="67"/>
        <v>42172</v>
      </c>
      <c r="C756" s="228" t="s">
        <v>195</v>
      </c>
      <c r="D756" s="229" t="s">
        <v>57</v>
      </c>
      <c r="E756" s="230" t="s">
        <v>184</v>
      </c>
      <c r="F756" s="236">
        <v>225000</v>
      </c>
      <c r="G756" s="237" t="s">
        <v>209</v>
      </c>
    </row>
    <row r="757" spans="1:8" ht="15.75">
      <c r="A757" s="243">
        <v>170</v>
      </c>
      <c r="B757" s="251">
        <f>B756</f>
        <v>42172</v>
      </c>
      <c r="C757" s="228" t="s">
        <v>195</v>
      </c>
      <c r="D757" s="229" t="s">
        <v>57</v>
      </c>
      <c r="E757" s="230" t="s">
        <v>313</v>
      </c>
      <c r="F757" s="236">
        <v>200000</v>
      </c>
      <c r="G757" s="237" t="str">
        <f>G756</f>
        <v>T. pilihan</v>
      </c>
    </row>
    <row r="758" spans="1:8" ht="15.75">
      <c r="A758" s="243">
        <v>178</v>
      </c>
      <c r="B758" s="251">
        <f>B757+1</f>
        <v>42173</v>
      </c>
      <c r="C758" s="228" t="s">
        <v>195</v>
      </c>
      <c r="D758" s="229"/>
      <c r="E758" s="239" t="s">
        <v>17</v>
      </c>
      <c r="F758" s="236"/>
      <c r="G758" s="237" t="s">
        <v>209</v>
      </c>
    </row>
    <row r="759" spans="1:8" ht="15.75">
      <c r="A759" s="243">
        <v>179</v>
      </c>
      <c r="B759" s="251">
        <f t="shared" ref="B759:B766" si="68">B758</f>
        <v>42173</v>
      </c>
      <c r="C759" s="228" t="s">
        <v>195</v>
      </c>
      <c r="D759" s="229" t="s">
        <v>42</v>
      </c>
      <c r="E759" s="230" t="s">
        <v>364</v>
      </c>
      <c r="F759" s="236">
        <v>10568660.869565219</v>
      </c>
      <c r="G759" s="237" t="s">
        <v>209</v>
      </c>
    </row>
    <row r="760" spans="1:8" ht="15.75">
      <c r="A760" s="243">
        <v>180</v>
      </c>
      <c r="B760" s="251">
        <f t="shared" si="68"/>
        <v>42173</v>
      </c>
      <c r="C760" s="228" t="s">
        <v>195</v>
      </c>
      <c r="D760" s="229" t="s">
        <v>2</v>
      </c>
      <c r="E760" s="230" t="s">
        <v>170</v>
      </c>
      <c r="F760" s="236">
        <v>1170000</v>
      </c>
      <c r="G760" s="237" t="s">
        <v>209</v>
      </c>
      <c r="H760" s="238"/>
    </row>
    <row r="761" spans="1:8" ht="15.75">
      <c r="A761" s="243">
        <v>181</v>
      </c>
      <c r="B761" s="251">
        <f t="shared" si="68"/>
        <v>42173</v>
      </c>
      <c r="C761" s="228" t="s">
        <v>195</v>
      </c>
      <c r="D761" s="229" t="s">
        <v>2</v>
      </c>
      <c r="E761" s="230" t="s">
        <v>81</v>
      </c>
      <c r="F761" s="236">
        <v>207000</v>
      </c>
      <c r="G761" s="237" t="s">
        <v>209</v>
      </c>
    </row>
    <row r="762" spans="1:8" ht="15.75">
      <c r="A762" s="243">
        <v>182</v>
      </c>
      <c r="B762" s="251">
        <f t="shared" si="68"/>
        <v>42173</v>
      </c>
      <c r="C762" s="228" t="s">
        <v>195</v>
      </c>
      <c r="D762" s="229" t="s">
        <v>57</v>
      </c>
      <c r="E762" s="230" t="s">
        <v>79</v>
      </c>
      <c r="F762" s="236">
        <v>200000</v>
      </c>
      <c r="G762" s="237" t="s">
        <v>209</v>
      </c>
    </row>
    <row r="763" spans="1:8" ht="15.75">
      <c r="A763" s="243">
        <v>183</v>
      </c>
      <c r="B763" s="251">
        <f t="shared" si="68"/>
        <v>42173</v>
      </c>
      <c r="C763" s="228" t="s">
        <v>195</v>
      </c>
      <c r="D763" s="229" t="s">
        <v>57</v>
      </c>
      <c r="E763" s="230" t="s">
        <v>188</v>
      </c>
      <c r="F763" s="236">
        <v>70000</v>
      </c>
      <c r="G763" s="237" t="s">
        <v>209</v>
      </c>
    </row>
    <row r="764" spans="1:8" ht="15.75">
      <c r="A764" s="243">
        <v>184</v>
      </c>
      <c r="B764" s="251">
        <f t="shared" si="68"/>
        <v>42173</v>
      </c>
      <c r="C764" s="228" t="s">
        <v>195</v>
      </c>
      <c r="D764" s="229" t="s">
        <v>3</v>
      </c>
      <c r="E764" s="230" t="s">
        <v>76</v>
      </c>
      <c r="F764" s="236">
        <v>300000</v>
      </c>
      <c r="G764" s="237" t="s">
        <v>209</v>
      </c>
    </row>
    <row r="765" spans="1:8" ht="15.75">
      <c r="A765" s="243">
        <v>185</v>
      </c>
      <c r="B765" s="251">
        <f t="shared" si="68"/>
        <v>42173</v>
      </c>
      <c r="C765" s="228" t="s">
        <v>195</v>
      </c>
      <c r="D765" s="229" t="s">
        <v>2</v>
      </c>
      <c r="E765" s="230" t="s">
        <v>357</v>
      </c>
      <c r="F765" s="236">
        <v>8613000</v>
      </c>
      <c r="G765" s="237" t="s">
        <v>209</v>
      </c>
    </row>
    <row r="766" spans="1:8" ht="15.75">
      <c r="A766" s="243">
        <v>186</v>
      </c>
      <c r="B766" s="251">
        <f t="shared" si="68"/>
        <v>42173</v>
      </c>
      <c r="C766" s="228" t="s">
        <v>195</v>
      </c>
      <c r="D766" s="229" t="s">
        <v>57</v>
      </c>
      <c r="E766" s="230" t="s">
        <v>184</v>
      </c>
      <c r="F766" s="236">
        <v>225000</v>
      </c>
      <c r="G766" s="237" t="s">
        <v>209</v>
      </c>
      <c r="H766" s="241"/>
    </row>
    <row r="767" spans="1:8" ht="15.75">
      <c r="A767" s="243">
        <v>187</v>
      </c>
      <c r="B767" s="251">
        <f>B766</f>
        <v>42173</v>
      </c>
      <c r="C767" s="228" t="s">
        <v>195</v>
      </c>
      <c r="D767" s="229" t="s">
        <v>57</v>
      </c>
      <c r="E767" s="230" t="s">
        <v>313</v>
      </c>
      <c r="F767" s="236">
        <v>200000</v>
      </c>
      <c r="G767" s="237" t="str">
        <f>G766</f>
        <v>T. pilihan</v>
      </c>
    </row>
    <row r="768" spans="1:8" ht="15.75">
      <c r="A768" s="243">
        <v>195</v>
      </c>
      <c r="B768" s="251">
        <f>B767+1</f>
        <v>42174</v>
      </c>
      <c r="C768" s="228" t="s">
        <v>195</v>
      </c>
      <c r="D768" s="229"/>
      <c r="E768" s="239" t="s">
        <v>17</v>
      </c>
      <c r="F768" s="236"/>
      <c r="G768" s="237" t="s">
        <v>209</v>
      </c>
      <c r="H768" s="282">
        <f>SUBTOTAL(9,F630:F768)</f>
        <v>246470269.56521741</v>
      </c>
    </row>
    <row r="769" spans="1:8" ht="15.75">
      <c r="A769" s="243">
        <v>196</v>
      </c>
      <c r="B769" s="251">
        <f t="shared" ref="B769:B776" si="69">B768</f>
        <v>42174</v>
      </c>
      <c r="C769" s="228" t="s">
        <v>195</v>
      </c>
      <c r="D769" s="229" t="s">
        <v>42</v>
      </c>
      <c r="E769" s="230" t="s">
        <v>364</v>
      </c>
      <c r="F769" s="236">
        <v>10568660.869565219</v>
      </c>
      <c r="G769" s="237" t="s">
        <v>209</v>
      </c>
    </row>
    <row r="770" spans="1:8" ht="15.75">
      <c r="A770" s="243">
        <v>197</v>
      </c>
      <c r="B770" s="251">
        <f t="shared" si="69"/>
        <v>42174</v>
      </c>
      <c r="C770" s="228" t="s">
        <v>195</v>
      </c>
      <c r="D770" s="229" t="s">
        <v>2</v>
      </c>
      <c r="E770" s="230" t="s">
        <v>170</v>
      </c>
      <c r="F770" s="236">
        <v>1170000</v>
      </c>
      <c r="G770" s="237" t="s">
        <v>209</v>
      </c>
    </row>
    <row r="771" spans="1:8" ht="15.75">
      <c r="A771" s="243">
        <v>198</v>
      </c>
      <c r="B771" s="251">
        <f t="shared" si="69"/>
        <v>42174</v>
      </c>
      <c r="C771" s="228" t="s">
        <v>195</v>
      </c>
      <c r="D771" s="229" t="s">
        <v>2</v>
      </c>
      <c r="E771" s="230" t="s">
        <v>81</v>
      </c>
      <c r="F771" s="236">
        <v>207000</v>
      </c>
      <c r="G771" s="237" t="s">
        <v>209</v>
      </c>
    </row>
    <row r="772" spans="1:8" ht="15.75">
      <c r="A772" s="243">
        <v>199</v>
      </c>
      <c r="B772" s="251">
        <f t="shared" si="69"/>
        <v>42174</v>
      </c>
      <c r="C772" s="228" t="s">
        <v>195</v>
      </c>
      <c r="D772" s="229" t="s">
        <v>57</v>
      </c>
      <c r="E772" s="230" t="s">
        <v>79</v>
      </c>
      <c r="F772" s="236">
        <v>200000</v>
      </c>
      <c r="G772" s="237" t="s">
        <v>209</v>
      </c>
    </row>
    <row r="773" spans="1:8" ht="15.75">
      <c r="A773" s="243">
        <v>200</v>
      </c>
      <c r="B773" s="251">
        <f t="shared" si="69"/>
        <v>42174</v>
      </c>
      <c r="C773" s="228" t="s">
        <v>195</v>
      </c>
      <c r="D773" s="229" t="s">
        <v>57</v>
      </c>
      <c r="E773" s="230" t="s">
        <v>188</v>
      </c>
      <c r="F773" s="236">
        <v>70000</v>
      </c>
      <c r="G773" s="237" t="s">
        <v>209</v>
      </c>
    </row>
    <row r="774" spans="1:8" ht="15.75">
      <c r="A774" s="243">
        <v>201</v>
      </c>
      <c r="B774" s="251">
        <f t="shared" si="69"/>
        <v>42174</v>
      </c>
      <c r="C774" s="228" t="s">
        <v>195</v>
      </c>
      <c r="D774" s="229" t="s">
        <v>3</v>
      </c>
      <c r="E774" s="230" t="s">
        <v>76</v>
      </c>
      <c r="F774" s="236">
        <v>300000</v>
      </c>
      <c r="G774" s="237" t="s">
        <v>209</v>
      </c>
    </row>
    <row r="775" spans="1:8" ht="15.75">
      <c r="A775" s="243">
        <v>202</v>
      </c>
      <c r="B775" s="251">
        <f t="shared" si="69"/>
        <v>42174</v>
      </c>
      <c r="C775" s="228" t="s">
        <v>195</v>
      </c>
      <c r="D775" s="229" t="s">
        <v>2</v>
      </c>
      <c r="E775" s="230" t="s">
        <v>357</v>
      </c>
      <c r="F775" s="236">
        <v>8613000</v>
      </c>
      <c r="G775" s="237" t="s">
        <v>209</v>
      </c>
    </row>
    <row r="776" spans="1:8" ht="15.75">
      <c r="A776" s="243">
        <v>203</v>
      </c>
      <c r="B776" s="251">
        <f t="shared" si="69"/>
        <v>42174</v>
      </c>
      <c r="C776" s="228" t="s">
        <v>195</v>
      </c>
      <c r="D776" s="229" t="s">
        <v>57</v>
      </c>
      <c r="E776" s="230" t="s">
        <v>184</v>
      </c>
      <c r="F776" s="236">
        <v>225000</v>
      </c>
      <c r="G776" s="237" t="s">
        <v>209</v>
      </c>
    </row>
    <row r="777" spans="1:8" ht="15.75">
      <c r="A777" s="243">
        <v>204</v>
      </c>
      <c r="B777" s="251">
        <f>B776</f>
        <v>42174</v>
      </c>
      <c r="C777" s="228" t="s">
        <v>195</v>
      </c>
      <c r="D777" s="229" t="s">
        <v>57</v>
      </c>
      <c r="E777" s="230" t="s">
        <v>313</v>
      </c>
      <c r="F777" s="236">
        <v>200000</v>
      </c>
      <c r="G777" s="237" t="str">
        <f>G776</f>
        <v>T. pilihan</v>
      </c>
      <c r="H777" s="241"/>
    </row>
    <row r="778" spans="1:8" ht="15.75">
      <c r="A778" s="243">
        <v>212</v>
      </c>
      <c r="B778" s="251">
        <f>B777+1</f>
        <v>42175</v>
      </c>
      <c r="C778" s="228" t="s">
        <v>195</v>
      </c>
      <c r="D778" s="229"/>
      <c r="E778" s="239" t="s">
        <v>17</v>
      </c>
      <c r="F778" s="236"/>
      <c r="G778" s="237" t="s">
        <v>209</v>
      </c>
    </row>
    <row r="779" spans="1:8" ht="15.75">
      <c r="A779" s="243">
        <v>213</v>
      </c>
      <c r="B779" s="251">
        <f t="shared" ref="B779:B786" si="70">B778</f>
        <v>42175</v>
      </c>
      <c r="C779" s="228" t="s">
        <v>195</v>
      </c>
      <c r="D779" s="229" t="s">
        <v>42</v>
      </c>
      <c r="E779" s="230" t="s">
        <v>364</v>
      </c>
      <c r="F779" s="236">
        <v>10568660.869565219</v>
      </c>
      <c r="G779" s="237" t="s">
        <v>209</v>
      </c>
    </row>
    <row r="780" spans="1:8" ht="15.75">
      <c r="A780" s="243">
        <v>214</v>
      </c>
      <c r="B780" s="251">
        <f t="shared" si="70"/>
        <v>42175</v>
      </c>
      <c r="C780" s="228" t="s">
        <v>195</v>
      </c>
      <c r="D780" s="229" t="s">
        <v>2</v>
      </c>
      <c r="E780" s="230" t="s">
        <v>170</v>
      </c>
      <c r="F780" s="236">
        <v>1170000</v>
      </c>
      <c r="G780" s="237" t="s">
        <v>209</v>
      </c>
    </row>
    <row r="781" spans="1:8" ht="15.75">
      <c r="A781" s="243">
        <v>215</v>
      </c>
      <c r="B781" s="251">
        <f t="shared" si="70"/>
        <v>42175</v>
      </c>
      <c r="C781" s="228" t="s">
        <v>195</v>
      </c>
      <c r="D781" s="229" t="s">
        <v>2</v>
      </c>
      <c r="E781" s="230" t="s">
        <v>81</v>
      </c>
      <c r="F781" s="236">
        <v>207000</v>
      </c>
      <c r="G781" s="237" t="s">
        <v>209</v>
      </c>
    </row>
    <row r="782" spans="1:8" ht="15.75">
      <c r="A782" s="243">
        <v>216</v>
      </c>
      <c r="B782" s="251">
        <f t="shared" si="70"/>
        <v>42175</v>
      </c>
      <c r="C782" s="228" t="s">
        <v>195</v>
      </c>
      <c r="D782" s="229" t="s">
        <v>57</v>
      </c>
      <c r="E782" s="230" t="s">
        <v>79</v>
      </c>
      <c r="F782" s="236">
        <v>200000</v>
      </c>
      <c r="G782" s="237" t="s">
        <v>209</v>
      </c>
    </row>
    <row r="783" spans="1:8" ht="15.75">
      <c r="A783" s="243">
        <v>217</v>
      </c>
      <c r="B783" s="251">
        <f t="shared" si="70"/>
        <v>42175</v>
      </c>
      <c r="C783" s="228" t="s">
        <v>195</v>
      </c>
      <c r="D783" s="229" t="s">
        <v>57</v>
      </c>
      <c r="E783" s="230" t="s">
        <v>188</v>
      </c>
      <c r="F783" s="236">
        <v>70000</v>
      </c>
      <c r="G783" s="237" t="s">
        <v>209</v>
      </c>
      <c r="H783" s="241"/>
    </row>
    <row r="784" spans="1:8" ht="15.75">
      <c r="A784" s="243">
        <v>218</v>
      </c>
      <c r="B784" s="251">
        <f t="shared" si="70"/>
        <v>42175</v>
      </c>
      <c r="C784" s="228" t="s">
        <v>195</v>
      </c>
      <c r="D784" s="229" t="s">
        <v>3</v>
      </c>
      <c r="E784" s="230" t="s">
        <v>76</v>
      </c>
      <c r="F784" s="236">
        <v>300000</v>
      </c>
      <c r="G784" s="237" t="s">
        <v>209</v>
      </c>
      <c r="H784" s="241"/>
    </row>
    <row r="785" spans="1:9" ht="15.75">
      <c r="A785" s="243">
        <v>219</v>
      </c>
      <c r="B785" s="251">
        <f t="shared" si="70"/>
        <v>42175</v>
      </c>
      <c r="C785" s="228" t="s">
        <v>195</v>
      </c>
      <c r="D785" s="229" t="s">
        <v>2</v>
      </c>
      <c r="E785" s="230" t="s">
        <v>357</v>
      </c>
      <c r="F785" s="236">
        <v>8613000</v>
      </c>
      <c r="G785" s="237" t="s">
        <v>209</v>
      </c>
    </row>
    <row r="786" spans="1:9" ht="15.75">
      <c r="A786" s="243">
        <v>220</v>
      </c>
      <c r="B786" s="251">
        <f t="shared" si="70"/>
        <v>42175</v>
      </c>
      <c r="C786" s="228" t="s">
        <v>195</v>
      </c>
      <c r="D786" s="229" t="s">
        <v>57</v>
      </c>
      <c r="E786" s="230" t="s">
        <v>184</v>
      </c>
      <c r="F786" s="236">
        <v>225000</v>
      </c>
      <c r="G786" s="237" t="s">
        <v>209</v>
      </c>
      <c r="H786" s="241"/>
    </row>
    <row r="787" spans="1:9" ht="15.75">
      <c r="A787" s="243">
        <v>221</v>
      </c>
      <c r="B787" s="251">
        <f>B786</f>
        <v>42175</v>
      </c>
      <c r="C787" s="228" t="s">
        <v>195</v>
      </c>
      <c r="D787" s="229" t="s">
        <v>57</v>
      </c>
      <c r="E787" s="230" t="s">
        <v>313</v>
      </c>
      <c r="F787" s="236">
        <v>200000</v>
      </c>
      <c r="G787" s="237" t="str">
        <f>G786</f>
        <v>T. pilihan</v>
      </c>
    </row>
    <row r="788" spans="1:9" ht="15.75">
      <c r="A788" s="243">
        <v>229</v>
      </c>
      <c r="B788" s="251">
        <f>B787+1</f>
        <v>42176</v>
      </c>
      <c r="C788" s="228" t="s">
        <v>195</v>
      </c>
      <c r="D788" s="229"/>
      <c r="E788" s="239" t="s">
        <v>17</v>
      </c>
      <c r="F788" s="236"/>
      <c r="G788" s="237" t="s">
        <v>209</v>
      </c>
    </row>
    <row r="789" spans="1:9" ht="15.75">
      <c r="A789" s="243">
        <v>230</v>
      </c>
      <c r="B789" s="251">
        <f t="shared" ref="B789:B796" si="71">B788</f>
        <v>42176</v>
      </c>
      <c r="C789" s="228" t="s">
        <v>195</v>
      </c>
      <c r="D789" s="229" t="s">
        <v>42</v>
      </c>
      <c r="E789" s="230" t="s">
        <v>364</v>
      </c>
      <c r="F789" s="236">
        <v>10568660.869565219</v>
      </c>
      <c r="G789" s="237" t="s">
        <v>209</v>
      </c>
    </row>
    <row r="790" spans="1:9" ht="15.75">
      <c r="A790" s="243">
        <v>231</v>
      </c>
      <c r="B790" s="251">
        <f t="shared" si="71"/>
        <v>42176</v>
      </c>
      <c r="C790" s="228" t="s">
        <v>195</v>
      </c>
      <c r="D790" s="229" t="s">
        <v>2</v>
      </c>
      <c r="E790" s="230" t="s">
        <v>170</v>
      </c>
      <c r="F790" s="236">
        <v>1170000</v>
      </c>
      <c r="G790" s="237" t="s">
        <v>209</v>
      </c>
    </row>
    <row r="791" spans="1:9" ht="15.75">
      <c r="A791" s="243">
        <v>232</v>
      </c>
      <c r="B791" s="251">
        <f t="shared" si="71"/>
        <v>42176</v>
      </c>
      <c r="C791" s="228" t="s">
        <v>195</v>
      </c>
      <c r="D791" s="229" t="s">
        <v>2</v>
      </c>
      <c r="E791" s="230" t="s">
        <v>81</v>
      </c>
      <c r="F791" s="236">
        <v>207000</v>
      </c>
      <c r="G791" s="237" t="s">
        <v>209</v>
      </c>
    </row>
    <row r="792" spans="1:9" ht="15.75">
      <c r="A792" s="243">
        <v>233</v>
      </c>
      <c r="B792" s="251">
        <f t="shared" si="71"/>
        <v>42176</v>
      </c>
      <c r="C792" s="228" t="s">
        <v>195</v>
      </c>
      <c r="D792" s="229" t="s">
        <v>57</v>
      </c>
      <c r="E792" s="230" t="s">
        <v>79</v>
      </c>
      <c r="F792" s="236">
        <v>200000</v>
      </c>
      <c r="G792" s="237" t="s">
        <v>209</v>
      </c>
      <c r="H792" s="241"/>
    </row>
    <row r="793" spans="1:9" ht="15.75">
      <c r="A793" s="243">
        <v>234</v>
      </c>
      <c r="B793" s="251">
        <f t="shared" si="71"/>
        <v>42176</v>
      </c>
      <c r="C793" s="228" t="s">
        <v>195</v>
      </c>
      <c r="D793" s="229" t="s">
        <v>57</v>
      </c>
      <c r="E793" s="230" t="s">
        <v>188</v>
      </c>
      <c r="F793" s="236">
        <v>70000</v>
      </c>
      <c r="G793" s="237" t="s">
        <v>209</v>
      </c>
      <c r="H793" s="241"/>
    </row>
    <row r="794" spans="1:9" ht="15.75">
      <c r="A794" s="243">
        <v>235</v>
      </c>
      <c r="B794" s="251">
        <f t="shared" si="71"/>
        <v>42176</v>
      </c>
      <c r="C794" s="228" t="s">
        <v>195</v>
      </c>
      <c r="D794" s="229" t="s">
        <v>3</v>
      </c>
      <c r="E794" s="230" t="s">
        <v>76</v>
      </c>
      <c r="F794" s="236">
        <v>300000</v>
      </c>
      <c r="G794" s="237" t="s">
        <v>209</v>
      </c>
    </row>
    <row r="795" spans="1:9" ht="15.75">
      <c r="A795" s="243">
        <v>236</v>
      </c>
      <c r="B795" s="251">
        <f t="shared" si="71"/>
        <v>42176</v>
      </c>
      <c r="C795" s="228" t="s">
        <v>195</v>
      </c>
      <c r="D795" s="229" t="s">
        <v>2</v>
      </c>
      <c r="E795" s="230" t="s">
        <v>357</v>
      </c>
      <c r="F795" s="236">
        <v>8613000</v>
      </c>
      <c r="G795" s="237" t="s">
        <v>209</v>
      </c>
      <c r="H795" s="241"/>
    </row>
    <row r="796" spans="1:9" ht="15.75">
      <c r="A796" s="243">
        <v>237</v>
      </c>
      <c r="B796" s="251">
        <f t="shared" si="71"/>
        <v>42176</v>
      </c>
      <c r="C796" s="228" t="s">
        <v>195</v>
      </c>
      <c r="D796" s="229" t="s">
        <v>57</v>
      </c>
      <c r="E796" s="230" t="s">
        <v>184</v>
      </c>
      <c r="F796" s="236">
        <v>225000</v>
      </c>
      <c r="G796" s="237" t="s">
        <v>209</v>
      </c>
    </row>
    <row r="797" spans="1:9" ht="15.75">
      <c r="A797" s="243">
        <v>238</v>
      </c>
      <c r="B797" s="251">
        <f>B796</f>
        <v>42176</v>
      </c>
      <c r="C797" s="228" t="s">
        <v>195</v>
      </c>
      <c r="D797" s="229" t="s">
        <v>57</v>
      </c>
      <c r="E797" s="230" t="s">
        <v>313</v>
      </c>
      <c r="F797" s="236">
        <v>200000</v>
      </c>
      <c r="G797" s="237" t="str">
        <f>G796</f>
        <v>T. pilihan</v>
      </c>
    </row>
    <row r="798" spans="1:9" ht="15.75">
      <c r="A798" s="243">
        <f t="shared" ref="A798" si="72">A797+1</f>
        <v>239</v>
      </c>
      <c r="B798" s="251">
        <f>B797</f>
        <v>42176</v>
      </c>
      <c r="C798" s="228" t="s">
        <v>195</v>
      </c>
      <c r="D798" s="229" t="s">
        <v>57</v>
      </c>
      <c r="E798" s="230" t="s">
        <v>226</v>
      </c>
      <c r="F798" s="236">
        <f>5*35000*14</f>
        <v>2450000</v>
      </c>
      <c r="G798" s="237" t="s">
        <v>225</v>
      </c>
      <c r="H798" s="227">
        <v>14</v>
      </c>
    </row>
    <row r="799" spans="1:9" s="269" customFormat="1" ht="15">
      <c r="A799" s="262"/>
      <c r="B799" s="263" t="s">
        <v>189</v>
      </c>
      <c r="C799" s="264">
        <f>B797+1</f>
        <v>42177</v>
      </c>
      <c r="D799" s="264">
        <f>C799+13</f>
        <v>42190</v>
      </c>
      <c r="E799" s="265"/>
      <c r="F799" s="266">
        <f>SUM(F800:F940)</f>
        <v>291289591.30434787</v>
      </c>
      <c r="G799" s="267" t="s">
        <v>251</v>
      </c>
      <c r="H799" s="268"/>
      <c r="I799" s="227"/>
    </row>
    <row r="800" spans="1:9" ht="15.75">
      <c r="A800" s="243">
        <v>1</v>
      </c>
      <c r="B800" s="251">
        <f>C799</f>
        <v>42177</v>
      </c>
      <c r="C800" s="228" t="s">
        <v>195</v>
      </c>
      <c r="D800" s="229"/>
      <c r="E800" s="239" t="s">
        <v>17</v>
      </c>
      <c r="F800" s="236"/>
      <c r="G800" s="237" t="s">
        <v>209</v>
      </c>
      <c r="H800" s="233"/>
    </row>
    <row r="801" spans="1:8" ht="15.75">
      <c r="A801" s="243">
        <v>2</v>
      </c>
      <c r="B801" s="251">
        <f t="shared" ref="B801:B808" si="73">B800</f>
        <v>42177</v>
      </c>
      <c r="C801" s="228" t="s">
        <v>195</v>
      </c>
      <c r="D801" s="229" t="s">
        <v>42</v>
      </c>
      <c r="E801" s="230" t="s">
        <v>364</v>
      </c>
      <c r="F801" s="236">
        <v>10568660.869565219</v>
      </c>
      <c r="G801" s="237" t="s">
        <v>209</v>
      </c>
      <c r="H801" s="226"/>
    </row>
    <row r="802" spans="1:8" ht="15.75">
      <c r="A802" s="243">
        <v>3</v>
      </c>
      <c r="B802" s="251">
        <f t="shared" si="73"/>
        <v>42177</v>
      </c>
      <c r="C802" s="228" t="s">
        <v>195</v>
      </c>
      <c r="D802" s="229" t="s">
        <v>2</v>
      </c>
      <c r="E802" s="230" t="s">
        <v>170</v>
      </c>
      <c r="F802" s="236">
        <v>1170000</v>
      </c>
      <c r="G802" s="237" t="s">
        <v>209</v>
      </c>
      <c r="H802" s="226"/>
    </row>
    <row r="803" spans="1:8" ht="15.75">
      <c r="A803" s="243">
        <v>4</v>
      </c>
      <c r="B803" s="251">
        <f t="shared" si="73"/>
        <v>42177</v>
      </c>
      <c r="C803" s="228" t="s">
        <v>195</v>
      </c>
      <c r="D803" s="229" t="s">
        <v>2</v>
      </c>
      <c r="E803" s="230" t="s">
        <v>81</v>
      </c>
      <c r="F803" s="236">
        <v>207000</v>
      </c>
      <c r="G803" s="237" t="s">
        <v>209</v>
      </c>
    </row>
    <row r="804" spans="1:8" ht="15.75">
      <c r="A804" s="243">
        <v>5</v>
      </c>
      <c r="B804" s="251">
        <f t="shared" si="73"/>
        <v>42177</v>
      </c>
      <c r="C804" s="228" t="s">
        <v>195</v>
      </c>
      <c r="D804" s="229" t="s">
        <v>57</v>
      </c>
      <c r="E804" s="230" t="s">
        <v>79</v>
      </c>
      <c r="F804" s="236">
        <v>200000</v>
      </c>
      <c r="G804" s="237" t="s">
        <v>209</v>
      </c>
    </row>
    <row r="805" spans="1:8" ht="15.75">
      <c r="A805" s="243">
        <v>6</v>
      </c>
      <c r="B805" s="251">
        <f t="shared" si="73"/>
        <v>42177</v>
      </c>
      <c r="C805" s="228" t="s">
        <v>195</v>
      </c>
      <c r="D805" s="229" t="s">
        <v>57</v>
      </c>
      <c r="E805" s="230" t="s">
        <v>188</v>
      </c>
      <c r="F805" s="236">
        <v>70000</v>
      </c>
      <c r="G805" s="237" t="s">
        <v>209</v>
      </c>
    </row>
    <row r="806" spans="1:8" ht="15.75">
      <c r="A806" s="243">
        <v>7</v>
      </c>
      <c r="B806" s="251">
        <f t="shared" si="73"/>
        <v>42177</v>
      </c>
      <c r="C806" s="228" t="s">
        <v>195</v>
      </c>
      <c r="D806" s="229" t="s">
        <v>3</v>
      </c>
      <c r="E806" s="230" t="s">
        <v>76</v>
      </c>
      <c r="F806" s="236">
        <v>300000</v>
      </c>
      <c r="G806" s="237" t="s">
        <v>209</v>
      </c>
    </row>
    <row r="807" spans="1:8" ht="15.75">
      <c r="A807" s="243">
        <v>8</v>
      </c>
      <c r="B807" s="251">
        <f t="shared" si="73"/>
        <v>42177</v>
      </c>
      <c r="C807" s="228" t="s">
        <v>195</v>
      </c>
      <c r="D807" s="229" t="s">
        <v>2</v>
      </c>
      <c r="E807" s="230" t="s">
        <v>357</v>
      </c>
      <c r="F807" s="236">
        <v>8613000</v>
      </c>
      <c r="G807" s="237" t="s">
        <v>209</v>
      </c>
    </row>
    <row r="808" spans="1:8" ht="15.75">
      <c r="A808" s="243">
        <v>9</v>
      </c>
      <c r="B808" s="251">
        <f t="shared" si="73"/>
        <v>42177</v>
      </c>
      <c r="C808" s="228" t="s">
        <v>195</v>
      </c>
      <c r="D808" s="229" t="s">
        <v>57</v>
      </c>
      <c r="E808" s="230" t="s">
        <v>184</v>
      </c>
      <c r="F808" s="236">
        <v>225000</v>
      </c>
      <c r="G808" s="237" t="s">
        <v>209</v>
      </c>
    </row>
    <row r="809" spans="1:8" ht="15.75">
      <c r="A809" s="243">
        <v>10</v>
      </c>
      <c r="B809" s="251">
        <f>B808</f>
        <v>42177</v>
      </c>
      <c r="C809" s="228" t="s">
        <v>195</v>
      </c>
      <c r="D809" s="229" t="s">
        <v>57</v>
      </c>
      <c r="E809" s="230" t="s">
        <v>313</v>
      </c>
      <c r="F809" s="236">
        <v>200000</v>
      </c>
      <c r="G809" s="237" t="str">
        <f>G808</f>
        <v>T. pilihan</v>
      </c>
    </row>
    <row r="810" spans="1:8" ht="15.75">
      <c r="A810" s="243">
        <v>11</v>
      </c>
      <c r="B810" s="251">
        <f>B809+1</f>
        <v>42178</v>
      </c>
      <c r="C810" s="228" t="s">
        <v>195</v>
      </c>
      <c r="D810" s="229"/>
      <c r="E810" s="239" t="s">
        <v>17</v>
      </c>
      <c r="F810" s="236"/>
      <c r="G810" s="237" t="s">
        <v>209</v>
      </c>
    </row>
    <row r="811" spans="1:8" ht="15.75">
      <c r="A811" s="243">
        <v>12</v>
      </c>
      <c r="B811" s="251">
        <f t="shared" ref="B811:B818" si="74">B810</f>
        <v>42178</v>
      </c>
      <c r="C811" s="228" t="s">
        <v>195</v>
      </c>
      <c r="D811" s="229" t="s">
        <v>42</v>
      </c>
      <c r="E811" s="230" t="s">
        <v>364</v>
      </c>
      <c r="F811" s="236">
        <v>10568660.869565219</v>
      </c>
      <c r="G811" s="237" t="s">
        <v>209</v>
      </c>
    </row>
    <row r="812" spans="1:8" ht="15.75">
      <c r="A812" s="243">
        <v>13</v>
      </c>
      <c r="B812" s="251">
        <f t="shared" si="74"/>
        <v>42178</v>
      </c>
      <c r="C812" s="228" t="s">
        <v>195</v>
      </c>
      <c r="D812" s="229" t="s">
        <v>2</v>
      </c>
      <c r="E812" s="230" t="s">
        <v>170</v>
      </c>
      <c r="F812" s="236">
        <v>1170000</v>
      </c>
      <c r="G812" s="237" t="s">
        <v>209</v>
      </c>
    </row>
    <row r="813" spans="1:8" ht="15.75">
      <c r="A813" s="243">
        <v>14</v>
      </c>
      <c r="B813" s="251">
        <f t="shared" si="74"/>
        <v>42178</v>
      </c>
      <c r="C813" s="228" t="s">
        <v>195</v>
      </c>
      <c r="D813" s="229" t="s">
        <v>2</v>
      </c>
      <c r="E813" s="230" t="s">
        <v>81</v>
      </c>
      <c r="F813" s="236">
        <v>207000</v>
      </c>
      <c r="G813" s="237" t="s">
        <v>209</v>
      </c>
    </row>
    <row r="814" spans="1:8" ht="15.75">
      <c r="A814" s="243">
        <v>15</v>
      </c>
      <c r="B814" s="251">
        <f t="shared" si="74"/>
        <v>42178</v>
      </c>
      <c r="C814" s="228" t="s">
        <v>195</v>
      </c>
      <c r="D814" s="229" t="s">
        <v>57</v>
      </c>
      <c r="E814" s="230" t="s">
        <v>79</v>
      </c>
      <c r="F814" s="236">
        <v>200000</v>
      </c>
      <c r="G814" s="237" t="s">
        <v>209</v>
      </c>
    </row>
    <row r="815" spans="1:8" ht="15.75">
      <c r="A815" s="243">
        <v>16</v>
      </c>
      <c r="B815" s="251">
        <f t="shared" si="74"/>
        <v>42178</v>
      </c>
      <c r="C815" s="228" t="s">
        <v>195</v>
      </c>
      <c r="D815" s="229" t="s">
        <v>57</v>
      </c>
      <c r="E815" s="230" t="s">
        <v>188</v>
      </c>
      <c r="F815" s="236">
        <v>70000</v>
      </c>
      <c r="G815" s="237" t="s">
        <v>209</v>
      </c>
    </row>
    <row r="816" spans="1:8" ht="15.75">
      <c r="A816" s="243">
        <v>17</v>
      </c>
      <c r="B816" s="251">
        <f t="shared" si="74"/>
        <v>42178</v>
      </c>
      <c r="C816" s="228" t="s">
        <v>195</v>
      </c>
      <c r="D816" s="229" t="s">
        <v>3</v>
      </c>
      <c r="E816" s="230" t="s">
        <v>76</v>
      </c>
      <c r="F816" s="236">
        <v>300000</v>
      </c>
      <c r="G816" s="237" t="s">
        <v>209</v>
      </c>
    </row>
    <row r="817" spans="1:7" ht="15.75">
      <c r="A817" s="243">
        <v>18</v>
      </c>
      <c r="B817" s="251">
        <f t="shared" si="74"/>
        <v>42178</v>
      </c>
      <c r="C817" s="228" t="s">
        <v>195</v>
      </c>
      <c r="D817" s="229" t="s">
        <v>2</v>
      </c>
      <c r="E817" s="230" t="s">
        <v>357</v>
      </c>
      <c r="F817" s="236">
        <v>8613000</v>
      </c>
      <c r="G817" s="237" t="s">
        <v>209</v>
      </c>
    </row>
    <row r="818" spans="1:7" ht="15.75">
      <c r="A818" s="243">
        <v>19</v>
      </c>
      <c r="B818" s="251">
        <f t="shared" si="74"/>
        <v>42178</v>
      </c>
      <c r="C818" s="228" t="s">
        <v>195</v>
      </c>
      <c r="D818" s="229" t="s">
        <v>57</v>
      </c>
      <c r="E818" s="230" t="s">
        <v>184</v>
      </c>
      <c r="F818" s="236">
        <v>225000</v>
      </c>
      <c r="G818" s="237" t="s">
        <v>209</v>
      </c>
    </row>
    <row r="819" spans="1:7" ht="15.75">
      <c r="A819" s="243">
        <v>20</v>
      </c>
      <c r="B819" s="251">
        <f>B818</f>
        <v>42178</v>
      </c>
      <c r="C819" s="228" t="s">
        <v>195</v>
      </c>
      <c r="D819" s="229" t="s">
        <v>57</v>
      </c>
      <c r="E819" s="230" t="s">
        <v>313</v>
      </c>
      <c r="F819" s="236">
        <v>200000</v>
      </c>
      <c r="G819" s="237" t="str">
        <f>G818</f>
        <v>T. pilihan</v>
      </c>
    </row>
    <row r="820" spans="1:7" ht="15.75">
      <c r="A820" s="243">
        <v>21</v>
      </c>
      <c r="B820" s="251">
        <f>B819+1</f>
        <v>42179</v>
      </c>
      <c r="C820" s="228" t="s">
        <v>195</v>
      </c>
      <c r="D820" s="229"/>
      <c r="E820" s="239" t="s">
        <v>17</v>
      </c>
      <c r="F820" s="236"/>
      <c r="G820" s="237" t="s">
        <v>209</v>
      </c>
    </row>
    <row r="821" spans="1:7" ht="15.75">
      <c r="A821" s="243">
        <v>22</v>
      </c>
      <c r="B821" s="251">
        <f t="shared" ref="B821:B828" si="75">B820</f>
        <v>42179</v>
      </c>
      <c r="C821" s="228" t="s">
        <v>195</v>
      </c>
      <c r="D821" s="229" t="s">
        <v>42</v>
      </c>
      <c r="E821" s="230" t="s">
        <v>364</v>
      </c>
      <c r="F821" s="236">
        <v>10568660.869565219</v>
      </c>
      <c r="G821" s="237" t="s">
        <v>209</v>
      </c>
    </row>
    <row r="822" spans="1:7" ht="15.75">
      <c r="A822" s="243">
        <v>23</v>
      </c>
      <c r="B822" s="251">
        <f t="shared" si="75"/>
        <v>42179</v>
      </c>
      <c r="C822" s="228" t="s">
        <v>195</v>
      </c>
      <c r="D822" s="229" t="s">
        <v>2</v>
      </c>
      <c r="E822" s="230" t="s">
        <v>170</v>
      </c>
      <c r="F822" s="236">
        <v>1170000</v>
      </c>
      <c r="G822" s="237" t="s">
        <v>209</v>
      </c>
    </row>
    <row r="823" spans="1:7" ht="15.75">
      <c r="A823" s="243">
        <v>24</v>
      </c>
      <c r="B823" s="251">
        <f t="shared" si="75"/>
        <v>42179</v>
      </c>
      <c r="C823" s="228" t="s">
        <v>195</v>
      </c>
      <c r="D823" s="229" t="s">
        <v>2</v>
      </c>
      <c r="E823" s="230" t="s">
        <v>81</v>
      </c>
      <c r="F823" s="236">
        <v>207000</v>
      </c>
      <c r="G823" s="237" t="s">
        <v>209</v>
      </c>
    </row>
    <row r="824" spans="1:7" ht="15.75">
      <c r="A824" s="243">
        <v>25</v>
      </c>
      <c r="B824" s="251">
        <f t="shared" si="75"/>
        <v>42179</v>
      </c>
      <c r="C824" s="228" t="s">
        <v>195</v>
      </c>
      <c r="D824" s="229" t="s">
        <v>57</v>
      </c>
      <c r="E824" s="230" t="s">
        <v>79</v>
      </c>
      <c r="F824" s="236">
        <v>200000</v>
      </c>
      <c r="G824" s="237" t="s">
        <v>209</v>
      </c>
    </row>
    <row r="825" spans="1:7" ht="15.75">
      <c r="A825" s="243">
        <v>26</v>
      </c>
      <c r="B825" s="251">
        <f t="shared" si="75"/>
        <v>42179</v>
      </c>
      <c r="C825" s="228" t="s">
        <v>195</v>
      </c>
      <c r="D825" s="229" t="s">
        <v>57</v>
      </c>
      <c r="E825" s="230" t="s">
        <v>188</v>
      </c>
      <c r="F825" s="236">
        <v>70000</v>
      </c>
      <c r="G825" s="237" t="s">
        <v>209</v>
      </c>
    </row>
    <row r="826" spans="1:7" ht="15.75">
      <c r="A826" s="243">
        <v>27</v>
      </c>
      <c r="B826" s="251">
        <f t="shared" si="75"/>
        <v>42179</v>
      </c>
      <c r="C826" s="228" t="s">
        <v>195</v>
      </c>
      <c r="D826" s="229" t="s">
        <v>3</v>
      </c>
      <c r="E826" s="230" t="s">
        <v>76</v>
      </c>
      <c r="F826" s="236">
        <v>300000</v>
      </c>
      <c r="G826" s="237" t="s">
        <v>209</v>
      </c>
    </row>
    <row r="827" spans="1:7" ht="15.75">
      <c r="A827" s="243">
        <v>28</v>
      </c>
      <c r="B827" s="251">
        <f t="shared" si="75"/>
        <v>42179</v>
      </c>
      <c r="C827" s="228" t="s">
        <v>195</v>
      </c>
      <c r="D827" s="229" t="s">
        <v>2</v>
      </c>
      <c r="E827" s="230" t="s">
        <v>357</v>
      </c>
      <c r="F827" s="236">
        <v>8613000</v>
      </c>
      <c r="G827" s="237" t="s">
        <v>209</v>
      </c>
    </row>
    <row r="828" spans="1:7" ht="15.75">
      <c r="A828" s="243">
        <v>29</v>
      </c>
      <c r="B828" s="251">
        <f t="shared" si="75"/>
        <v>42179</v>
      </c>
      <c r="C828" s="228" t="s">
        <v>195</v>
      </c>
      <c r="D828" s="229" t="s">
        <v>57</v>
      </c>
      <c r="E828" s="230" t="s">
        <v>184</v>
      </c>
      <c r="F828" s="236">
        <v>225000</v>
      </c>
      <c r="G828" s="237" t="s">
        <v>209</v>
      </c>
    </row>
    <row r="829" spans="1:7" ht="15.75">
      <c r="A829" s="243">
        <v>30</v>
      </c>
      <c r="B829" s="251">
        <f>B828</f>
        <v>42179</v>
      </c>
      <c r="C829" s="228" t="s">
        <v>195</v>
      </c>
      <c r="D829" s="229" t="s">
        <v>57</v>
      </c>
      <c r="E829" s="230" t="s">
        <v>313</v>
      </c>
      <c r="F829" s="236">
        <v>200000</v>
      </c>
      <c r="G829" s="237" t="str">
        <f>G828</f>
        <v>T. pilihan</v>
      </c>
    </row>
    <row r="830" spans="1:7" ht="15.75">
      <c r="A830" s="243">
        <v>31</v>
      </c>
      <c r="B830" s="251">
        <f>B829+1</f>
        <v>42180</v>
      </c>
      <c r="C830" s="228" t="s">
        <v>195</v>
      </c>
      <c r="D830" s="229"/>
      <c r="E830" s="239" t="s">
        <v>17</v>
      </c>
      <c r="F830" s="236"/>
      <c r="G830" s="237" t="s">
        <v>209</v>
      </c>
    </row>
    <row r="831" spans="1:7" ht="15.75">
      <c r="A831" s="243">
        <v>32</v>
      </c>
      <c r="B831" s="251">
        <f t="shared" ref="B831:B838" si="76">B830</f>
        <v>42180</v>
      </c>
      <c r="C831" s="228" t="s">
        <v>195</v>
      </c>
      <c r="D831" s="229" t="s">
        <v>42</v>
      </c>
      <c r="E831" s="230" t="s">
        <v>364</v>
      </c>
      <c r="F831" s="236">
        <v>10568660.869565219</v>
      </c>
      <c r="G831" s="237" t="s">
        <v>209</v>
      </c>
    </row>
    <row r="832" spans="1:7" ht="15.75">
      <c r="A832" s="243">
        <v>33</v>
      </c>
      <c r="B832" s="251">
        <f t="shared" si="76"/>
        <v>42180</v>
      </c>
      <c r="C832" s="228" t="s">
        <v>195</v>
      </c>
      <c r="D832" s="229" t="s">
        <v>2</v>
      </c>
      <c r="E832" s="230" t="s">
        <v>170</v>
      </c>
      <c r="F832" s="236">
        <v>1170000</v>
      </c>
      <c r="G832" s="237" t="s">
        <v>209</v>
      </c>
    </row>
    <row r="833" spans="1:7" ht="15.75">
      <c r="A833" s="243">
        <v>34</v>
      </c>
      <c r="B833" s="251">
        <f t="shared" si="76"/>
        <v>42180</v>
      </c>
      <c r="C833" s="228" t="s">
        <v>195</v>
      </c>
      <c r="D833" s="229" t="s">
        <v>2</v>
      </c>
      <c r="E833" s="230" t="s">
        <v>81</v>
      </c>
      <c r="F833" s="236">
        <v>207000</v>
      </c>
      <c r="G833" s="237" t="s">
        <v>209</v>
      </c>
    </row>
    <row r="834" spans="1:7" ht="15.75">
      <c r="A834" s="243">
        <v>35</v>
      </c>
      <c r="B834" s="251">
        <f t="shared" si="76"/>
        <v>42180</v>
      </c>
      <c r="C834" s="228" t="s">
        <v>195</v>
      </c>
      <c r="D834" s="229" t="s">
        <v>57</v>
      </c>
      <c r="E834" s="230" t="s">
        <v>79</v>
      </c>
      <c r="F834" s="236">
        <v>200000</v>
      </c>
      <c r="G834" s="237" t="s">
        <v>209</v>
      </c>
    </row>
    <row r="835" spans="1:7" ht="15.75">
      <c r="A835" s="243">
        <v>36</v>
      </c>
      <c r="B835" s="251">
        <f t="shared" si="76"/>
        <v>42180</v>
      </c>
      <c r="C835" s="228" t="s">
        <v>195</v>
      </c>
      <c r="D835" s="229" t="s">
        <v>57</v>
      </c>
      <c r="E835" s="230" t="s">
        <v>188</v>
      </c>
      <c r="F835" s="236">
        <v>70000</v>
      </c>
      <c r="G835" s="237" t="s">
        <v>209</v>
      </c>
    </row>
    <row r="836" spans="1:7" ht="15.75">
      <c r="A836" s="243">
        <v>37</v>
      </c>
      <c r="B836" s="251">
        <f t="shared" si="76"/>
        <v>42180</v>
      </c>
      <c r="C836" s="228" t="s">
        <v>195</v>
      </c>
      <c r="D836" s="229" t="s">
        <v>3</v>
      </c>
      <c r="E836" s="230" t="s">
        <v>76</v>
      </c>
      <c r="F836" s="236">
        <v>300000</v>
      </c>
      <c r="G836" s="237" t="s">
        <v>209</v>
      </c>
    </row>
    <row r="837" spans="1:7" ht="15.75">
      <c r="A837" s="243">
        <v>38</v>
      </c>
      <c r="B837" s="251">
        <f t="shared" si="76"/>
        <v>42180</v>
      </c>
      <c r="C837" s="228" t="s">
        <v>195</v>
      </c>
      <c r="D837" s="229" t="s">
        <v>2</v>
      </c>
      <c r="E837" s="230" t="s">
        <v>357</v>
      </c>
      <c r="F837" s="236">
        <v>8613000</v>
      </c>
      <c r="G837" s="237" t="s">
        <v>209</v>
      </c>
    </row>
    <row r="838" spans="1:7" ht="15.75">
      <c r="A838" s="243">
        <v>39</v>
      </c>
      <c r="B838" s="251">
        <f t="shared" si="76"/>
        <v>42180</v>
      </c>
      <c r="C838" s="228" t="s">
        <v>195</v>
      </c>
      <c r="D838" s="229" t="s">
        <v>57</v>
      </c>
      <c r="E838" s="230" t="s">
        <v>184</v>
      </c>
      <c r="F838" s="236">
        <v>225000</v>
      </c>
      <c r="G838" s="237" t="s">
        <v>209</v>
      </c>
    </row>
    <row r="839" spans="1:7" ht="15.75">
      <c r="A839" s="243">
        <v>40</v>
      </c>
      <c r="B839" s="251">
        <f>B838</f>
        <v>42180</v>
      </c>
      <c r="C839" s="228" t="s">
        <v>195</v>
      </c>
      <c r="D839" s="229" t="s">
        <v>57</v>
      </c>
      <c r="E839" s="230" t="s">
        <v>313</v>
      </c>
      <c r="F839" s="236">
        <v>200000</v>
      </c>
      <c r="G839" s="237" t="str">
        <f>G838</f>
        <v>T. pilihan</v>
      </c>
    </row>
    <row r="840" spans="1:7" ht="15.75">
      <c r="A840" s="243">
        <v>41</v>
      </c>
      <c r="B840" s="251">
        <f>B839+1</f>
        <v>42181</v>
      </c>
      <c r="C840" s="228" t="s">
        <v>195</v>
      </c>
      <c r="D840" s="229"/>
      <c r="E840" s="239" t="s">
        <v>17</v>
      </c>
      <c r="F840" s="236"/>
      <c r="G840" s="237" t="s">
        <v>209</v>
      </c>
    </row>
    <row r="841" spans="1:7" ht="15.75">
      <c r="A841" s="243">
        <v>42</v>
      </c>
      <c r="B841" s="251">
        <f t="shared" ref="B841:B848" si="77">B840</f>
        <v>42181</v>
      </c>
      <c r="C841" s="228" t="s">
        <v>195</v>
      </c>
      <c r="D841" s="229" t="s">
        <v>42</v>
      </c>
      <c r="E841" s="230" t="s">
        <v>364</v>
      </c>
      <c r="F841" s="236">
        <v>10568660.869565219</v>
      </c>
      <c r="G841" s="237" t="s">
        <v>209</v>
      </c>
    </row>
    <row r="842" spans="1:7" ht="15.75">
      <c r="A842" s="243">
        <v>43</v>
      </c>
      <c r="B842" s="251">
        <f t="shared" si="77"/>
        <v>42181</v>
      </c>
      <c r="C842" s="228" t="s">
        <v>195</v>
      </c>
      <c r="D842" s="229" t="s">
        <v>2</v>
      </c>
      <c r="E842" s="230" t="s">
        <v>170</v>
      </c>
      <c r="F842" s="236">
        <v>1170000</v>
      </c>
      <c r="G842" s="237" t="s">
        <v>209</v>
      </c>
    </row>
    <row r="843" spans="1:7" ht="15.75">
      <c r="A843" s="243">
        <v>44</v>
      </c>
      <c r="B843" s="251">
        <f t="shared" si="77"/>
        <v>42181</v>
      </c>
      <c r="C843" s="228" t="s">
        <v>195</v>
      </c>
      <c r="D843" s="229" t="s">
        <v>2</v>
      </c>
      <c r="E843" s="230" t="s">
        <v>81</v>
      </c>
      <c r="F843" s="236">
        <v>207000</v>
      </c>
      <c r="G843" s="237" t="s">
        <v>209</v>
      </c>
    </row>
    <row r="844" spans="1:7" ht="15.75">
      <c r="A844" s="243">
        <v>45</v>
      </c>
      <c r="B844" s="251">
        <f t="shared" si="77"/>
        <v>42181</v>
      </c>
      <c r="C844" s="228" t="s">
        <v>195</v>
      </c>
      <c r="D844" s="229" t="s">
        <v>57</v>
      </c>
      <c r="E844" s="230" t="s">
        <v>79</v>
      </c>
      <c r="F844" s="236">
        <v>200000</v>
      </c>
      <c r="G844" s="237" t="s">
        <v>209</v>
      </c>
    </row>
    <row r="845" spans="1:7" ht="15.75">
      <c r="A845" s="243">
        <v>46</v>
      </c>
      <c r="B845" s="251">
        <f t="shared" si="77"/>
        <v>42181</v>
      </c>
      <c r="C845" s="228" t="s">
        <v>195</v>
      </c>
      <c r="D845" s="229" t="s">
        <v>57</v>
      </c>
      <c r="E845" s="230" t="s">
        <v>188</v>
      </c>
      <c r="F845" s="236">
        <v>70000</v>
      </c>
      <c r="G845" s="237" t="s">
        <v>209</v>
      </c>
    </row>
    <row r="846" spans="1:7" ht="15.75">
      <c r="A846" s="243">
        <v>47</v>
      </c>
      <c r="B846" s="251">
        <f t="shared" si="77"/>
        <v>42181</v>
      </c>
      <c r="C846" s="228" t="s">
        <v>195</v>
      </c>
      <c r="D846" s="229" t="s">
        <v>3</v>
      </c>
      <c r="E846" s="230" t="s">
        <v>76</v>
      </c>
      <c r="F846" s="236">
        <v>300000</v>
      </c>
      <c r="G846" s="237" t="s">
        <v>209</v>
      </c>
    </row>
    <row r="847" spans="1:7" ht="15.75">
      <c r="A847" s="243">
        <v>48</v>
      </c>
      <c r="B847" s="251">
        <f t="shared" si="77"/>
        <v>42181</v>
      </c>
      <c r="C847" s="228" t="s">
        <v>195</v>
      </c>
      <c r="D847" s="229" t="s">
        <v>2</v>
      </c>
      <c r="E847" s="230" t="s">
        <v>357</v>
      </c>
      <c r="F847" s="236">
        <v>8613000</v>
      </c>
      <c r="G847" s="237" t="s">
        <v>209</v>
      </c>
    </row>
    <row r="848" spans="1:7" ht="15.75">
      <c r="A848" s="243">
        <v>49</v>
      </c>
      <c r="B848" s="251">
        <f t="shared" si="77"/>
        <v>42181</v>
      </c>
      <c r="C848" s="228" t="s">
        <v>195</v>
      </c>
      <c r="D848" s="229" t="s">
        <v>57</v>
      </c>
      <c r="E848" s="230" t="s">
        <v>184</v>
      </c>
      <c r="F848" s="236">
        <v>225000</v>
      </c>
      <c r="G848" s="237" t="s">
        <v>209</v>
      </c>
    </row>
    <row r="849" spans="1:7" ht="15.75">
      <c r="A849" s="243">
        <v>50</v>
      </c>
      <c r="B849" s="251">
        <f>B848</f>
        <v>42181</v>
      </c>
      <c r="C849" s="228" t="s">
        <v>195</v>
      </c>
      <c r="D849" s="229" t="s">
        <v>57</v>
      </c>
      <c r="E849" s="230" t="s">
        <v>313</v>
      </c>
      <c r="F849" s="236">
        <v>200000</v>
      </c>
      <c r="G849" s="237" t="str">
        <f>G848</f>
        <v>T. pilihan</v>
      </c>
    </row>
    <row r="850" spans="1:7" ht="15.75">
      <c r="A850" s="243">
        <v>41</v>
      </c>
      <c r="B850" s="251">
        <f>B849+1</f>
        <v>42182</v>
      </c>
      <c r="C850" s="228" t="s">
        <v>195</v>
      </c>
      <c r="D850" s="229"/>
      <c r="E850" s="239" t="s">
        <v>17</v>
      </c>
      <c r="F850" s="236"/>
      <c r="G850" s="237" t="s">
        <v>209</v>
      </c>
    </row>
    <row r="851" spans="1:7" ht="15.75">
      <c r="A851" s="243">
        <v>42</v>
      </c>
      <c r="B851" s="251">
        <f t="shared" ref="B851:B858" si="78">B850</f>
        <v>42182</v>
      </c>
      <c r="C851" s="228" t="s">
        <v>195</v>
      </c>
      <c r="D851" s="229" t="s">
        <v>42</v>
      </c>
      <c r="E851" s="230" t="s">
        <v>364</v>
      </c>
      <c r="F851" s="236">
        <v>10568660.869565219</v>
      </c>
      <c r="G851" s="237" t="s">
        <v>209</v>
      </c>
    </row>
    <row r="852" spans="1:7" ht="15.75">
      <c r="A852" s="243">
        <v>43</v>
      </c>
      <c r="B852" s="251">
        <f t="shared" si="78"/>
        <v>42182</v>
      </c>
      <c r="C852" s="228" t="s">
        <v>195</v>
      </c>
      <c r="D852" s="229" t="s">
        <v>2</v>
      </c>
      <c r="E852" s="230" t="s">
        <v>170</v>
      </c>
      <c r="F852" s="236">
        <v>1170000</v>
      </c>
      <c r="G852" s="237" t="s">
        <v>209</v>
      </c>
    </row>
    <row r="853" spans="1:7" ht="15.75">
      <c r="A853" s="243">
        <v>44</v>
      </c>
      <c r="B853" s="251">
        <f t="shared" si="78"/>
        <v>42182</v>
      </c>
      <c r="C853" s="228" t="s">
        <v>195</v>
      </c>
      <c r="D853" s="229" t="s">
        <v>2</v>
      </c>
      <c r="E853" s="230" t="s">
        <v>81</v>
      </c>
      <c r="F853" s="236">
        <v>207000</v>
      </c>
      <c r="G853" s="237" t="s">
        <v>209</v>
      </c>
    </row>
    <row r="854" spans="1:7" ht="15.75">
      <c r="A854" s="243">
        <v>45</v>
      </c>
      <c r="B854" s="251">
        <f t="shared" si="78"/>
        <v>42182</v>
      </c>
      <c r="C854" s="228" t="s">
        <v>195</v>
      </c>
      <c r="D854" s="229" t="s">
        <v>57</v>
      </c>
      <c r="E854" s="230" t="s">
        <v>79</v>
      </c>
      <c r="F854" s="236">
        <v>200000</v>
      </c>
      <c r="G854" s="237" t="s">
        <v>209</v>
      </c>
    </row>
    <row r="855" spans="1:7" ht="15.75">
      <c r="A855" s="243">
        <v>46</v>
      </c>
      <c r="B855" s="251">
        <f t="shared" si="78"/>
        <v>42182</v>
      </c>
      <c r="C855" s="228" t="s">
        <v>195</v>
      </c>
      <c r="D855" s="229" t="s">
        <v>57</v>
      </c>
      <c r="E855" s="230" t="s">
        <v>188</v>
      </c>
      <c r="F855" s="236">
        <v>70000</v>
      </c>
      <c r="G855" s="237" t="s">
        <v>209</v>
      </c>
    </row>
    <row r="856" spans="1:7" ht="15.75">
      <c r="A856" s="243">
        <v>47</v>
      </c>
      <c r="B856" s="251">
        <f t="shared" si="78"/>
        <v>42182</v>
      </c>
      <c r="C856" s="228" t="s">
        <v>195</v>
      </c>
      <c r="D856" s="229" t="s">
        <v>3</v>
      </c>
      <c r="E856" s="230" t="s">
        <v>76</v>
      </c>
      <c r="F856" s="236">
        <v>300000</v>
      </c>
      <c r="G856" s="237" t="s">
        <v>209</v>
      </c>
    </row>
    <row r="857" spans="1:7" ht="15.75">
      <c r="A857" s="243">
        <v>48</v>
      </c>
      <c r="B857" s="251">
        <f t="shared" si="78"/>
        <v>42182</v>
      </c>
      <c r="C857" s="228" t="s">
        <v>195</v>
      </c>
      <c r="D857" s="229" t="s">
        <v>2</v>
      </c>
      <c r="E857" s="230" t="s">
        <v>357</v>
      </c>
      <c r="F857" s="236">
        <v>8613000</v>
      </c>
      <c r="G857" s="237" t="s">
        <v>209</v>
      </c>
    </row>
    <row r="858" spans="1:7" ht="15.75">
      <c r="A858" s="243">
        <v>49</v>
      </c>
      <c r="B858" s="251">
        <f t="shared" si="78"/>
        <v>42182</v>
      </c>
      <c r="C858" s="228" t="s">
        <v>195</v>
      </c>
      <c r="D858" s="229" t="s">
        <v>57</v>
      </c>
      <c r="E858" s="230" t="s">
        <v>184</v>
      </c>
      <c r="F858" s="236">
        <v>225000</v>
      </c>
      <c r="G858" s="237" t="s">
        <v>209</v>
      </c>
    </row>
    <row r="859" spans="1:7" ht="15.75">
      <c r="A859" s="243">
        <v>50</v>
      </c>
      <c r="B859" s="251">
        <f>B858</f>
        <v>42182</v>
      </c>
      <c r="C859" s="228" t="s">
        <v>195</v>
      </c>
      <c r="D859" s="229" t="s">
        <v>57</v>
      </c>
      <c r="E859" s="230" t="s">
        <v>313</v>
      </c>
      <c r="F859" s="236">
        <v>200000</v>
      </c>
      <c r="G859" s="237" t="str">
        <f>G858</f>
        <v>T. pilihan</v>
      </c>
    </row>
    <row r="860" spans="1:7" ht="15.75">
      <c r="A860" s="243">
        <v>41</v>
      </c>
      <c r="B860" s="251">
        <f>B859+1</f>
        <v>42183</v>
      </c>
      <c r="C860" s="228" t="s">
        <v>195</v>
      </c>
      <c r="D860" s="229"/>
      <c r="E860" s="239" t="s">
        <v>17</v>
      </c>
      <c r="F860" s="236"/>
      <c r="G860" s="237" t="s">
        <v>209</v>
      </c>
    </row>
    <row r="861" spans="1:7" ht="15.75">
      <c r="A861" s="243">
        <v>42</v>
      </c>
      <c r="B861" s="251">
        <f t="shared" ref="B861:B868" si="79">B860</f>
        <v>42183</v>
      </c>
      <c r="C861" s="228" t="s">
        <v>195</v>
      </c>
      <c r="D861" s="229" t="s">
        <v>42</v>
      </c>
      <c r="E861" s="230" t="s">
        <v>364</v>
      </c>
      <c r="F861" s="236">
        <v>10568660.869565219</v>
      </c>
      <c r="G861" s="237" t="s">
        <v>209</v>
      </c>
    </row>
    <row r="862" spans="1:7" ht="15.75">
      <c r="A862" s="243">
        <v>43</v>
      </c>
      <c r="B862" s="251">
        <f t="shared" si="79"/>
        <v>42183</v>
      </c>
      <c r="C862" s="228" t="s">
        <v>195</v>
      </c>
      <c r="D862" s="229" t="s">
        <v>2</v>
      </c>
      <c r="E862" s="230" t="s">
        <v>170</v>
      </c>
      <c r="F862" s="236">
        <v>1170000</v>
      </c>
      <c r="G862" s="237" t="s">
        <v>209</v>
      </c>
    </row>
    <row r="863" spans="1:7" ht="15.75">
      <c r="A863" s="243">
        <v>44</v>
      </c>
      <c r="B863" s="251">
        <f t="shared" si="79"/>
        <v>42183</v>
      </c>
      <c r="C863" s="228" t="s">
        <v>195</v>
      </c>
      <c r="D863" s="229" t="s">
        <v>2</v>
      </c>
      <c r="E863" s="230" t="s">
        <v>81</v>
      </c>
      <c r="F863" s="236">
        <v>207000</v>
      </c>
      <c r="G863" s="237" t="s">
        <v>209</v>
      </c>
    </row>
    <row r="864" spans="1:7" ht="15.75">
      <c r="A864" s="243">
        <v>45</v>
      </c>
      <c r="B864" s="251">
        <f t="shared" si="79"/>
        <v>42183</v>
      </c>
      <c r="C864" s="228" t="s">
        <v>195</v>
      </c>
      <c r="D864" s="229" t="s">
        <v>57</v>
      </c>
      <c r="E864" s="230" t="s">
        <v>79</v>
      </c>
      <c r="F864" s="236">
        <v>200000</v>
      </c>
      <c r="G864" s="237" t="s">
        <v>209</v>
      </c>
    </row>
    <row r="865" spans="1:7" ht="15.75">
      <c r="A865" s="243">
        <v>46</v>
      </c>
      <c r="B865" s="251">
        <f t="shared" si="79"/>
        <v>42183</v>
      </c>
      <c r="C865" s="228" t="s">
        <v>195</v>
      </c>
      <c r="D865" s="229" t="s">
        <v>57</v>
      </c>
      <c r="E865" s="230" t="s">
        <v>188</v>
      </c>
      <c r="F865" s="236">
        <v>70000</v>
      </c>
      <c r="G865" s="237" t="s">
        <v>209</v>
      </c>
    </row>
    <row r="866" spans="1:7" ht="15.75">
      <c r="A866" s="243">
        <v>47</v>
      </c>
      <c r="B866" s="251">
        <f t="shared" si="79"/>
        <v>42183</v>
      </c>
      <c r="C866" s="228" t="s">
        <v>195</v>
      </c>
      <c r="D866" s="229" t="s">
        <v>3</v>
      </c>
      <c r="E866" s="230" t="s">
        <v>76</v>
      </c>
      <c r="F866" s="236">
        <v>300000</v>
      </c>
      <c r="G866" s="237" t="s">
        <v>209</v>
      </c>
    </row>
    <row r="867" spans="1:7" ht="15.75">
      <c r="A867" s="243">
        <v>48</v>
      </c>
      <c r="B867" s="251">
        <f t="shared" si="79"/>
        <v>42183</v>
      </c>
      <c r="C867" s="228" t="s">
        <v>195</v>
      </c>
      <c r="D867" s="229" t="s">
        <v>2</v>
      </c>
      <c r="E867" s="230" t="s">
        <v>357</v>
      </c>
      <c r="F867" s="236">
        <v>8613000</v>
      </c>
      <c r="G867" s="237" t="s">
        <v>209</v>
      </c>
    </row>
    <row r="868" spans="1:7" ht="15.75">
      <c r="A868" s="243">
        <v>49</v>
      </c>
      <c r="B868" s="251">
        <f t="shared" si="79"/>
        <v>42183</v>
      </c>
      <c r="C868" s="228" t="s">
        <v>195</v>
      </c>
      <c r="D868" s="229" t="s">
        <v>57</v>
      </c>
      <c r="E868" s="230" t="s">
        <v>184</v>
      </c>
      <c r="F868" s="236">
        <v>225000</v>
      </c>
      <c r="G868" s="237" t="s">
        <v>209</v>
      </c>
    </row>
    <row r="869" spans="1:7" ht="15.75">
      <c r="A869" s="243">
        <v>50</v>
      </c>
      <c r="B869" s="251">
        <f>B868</f>
        <v>42183</v>
      </c>
      <c r="C869" s="228" t="s">
        <v>195</v>
      </c>
      <c r="D869" s="229" t="s">
        <v>57</v>
      </c>
      <c r="E869" s="230" t="s">
        <v>313</v>
      </c>
      <c r="F869" s="236">
        <v>200000</v>
      </c>
      <c r="G869" s="237" t="str">
        <f>G868</f>
        <v>T. pilihan</v>
      </c>
    </row>
    <row r="870" spans="1:7" ht="15.75">
      <c r="A870" s="243">
        <v>41</v>
      </c>
      <c r="B870" s="251">
        <f>B869+1</f>
        <v>42184</v>
      </c>
      <c r="C870" s="228" t="s">
        <v>195</v>
      </c>
      <c r="D870" s="229"/>
      <c r="E870" s="239" t="s">
        <v>17</v>
      </c>
      <c r="F870" s="236"/>
      <c r="G870" s="237" t="s">
        <v>209</v>
      </c>
    </row>
    <row r="871" spans="1:7" ht="15.75">
      <c r="A871" s="243">
        <v>42</v>
      </c>
      <c r="B871" s="251">
        <f t="shared" ref="B871:B878" si="80">B870</f>
        <v>42184</v>
      </c>
      <c r="C871" s="228" t="s">
        <v>195</v>
      </c>
      <c r="D871" s="229" t="s">
        <v>42</v>
      </c>
      <c r="E871" s="230" t="s">
        <v>364</v>
      </c>
      <c r="F871" s="236">
        <v>10568660.869565219</v>
      </c>
      <c r="G871" s="237" t="s">
        <v>209</v>
      </c>
    </row>
    <row r="872" spans="1:7" ht="15.75">
      <c r="A872" s="243">
        <v>43</v>
      </c>
      <c r="B872" s="251">
        <f t="shared" si="80"/>
        <v>42184</v>
      </c>
      <c r="C872" s="228" t="s">
        <v>195</v>
      </c>
      <c r="D872" s="229" t="s">
        <v>2</v>
      </c>
      <c r="E872" s="230" t="s">
        <v>170</v>
      </c>
      <c r="F872" s="236">
        <v>1170000</v>
      </c>
      <c r="G872" s="237" t="s">
        <v>209</v>
      </c>
    </row>
    <row r="873" spans="1:7" ht="15.75">
      <c r="A873" s="243">
        <v>44</v>
      </c>
      <c r="B873" s="251">
        <f t="shared" si="80"/>
        <v>42184</v>
      </c>
      <c r="C873" s="228" t="s">
        <v>195</v>
      </c>
      <c r="D873" s="229" t="s">
        <v>2</v>
      </c>
      <c r="E873" s="230" t="s">
        <v>81</v>
      </c>
      <c r="F873" s="236">
        <v>207000</v>
      </c>
      <c r="G873" s="237" t="s">
        <v>209</v>
      </c>
    </row>
    <row r="874" spans="1:7" ht="15.75">
      <c r="A874" s="243">
        <v>45</v>
      </c>
      <c r="B874" s="251">
        <f t="shared" si="80"/>
        <v>42184</v>
      </c>
      <c r="C874" s="228" t="s">
        <v>195</v>
      </c>
      <c r="D874" s="229" t="s">
        <v>57</v>
      </c>
      <c r="E874" s="230" t="s">
        <v>79</v>
      </c>
      <c r="F874" s="236">
        <v>200000</v>
      </c>
      <c r="G874" s="237" t="s">
        <v>209</v>
      </c>
    </row>
    <row r="875" spans="1:7" ht="15.75">
      <c r="A875" s="243">
        <v>46</v>
      </c>
      <c r="B875" s="251">
        <f t="shared" si="80"/>
        <v>42184</v>
      </c>
      <c r="C875" s="228" t="s">
        <v>195</v>
      </c>
      <c r="D875" s="229" t="s">
        <v>57</v>
      </c>
      <c r="E875" s="230" t="s">
        <v>188</v>
      </c>
      <c r="F875" s="236">
        <v>70000</v>
      </c>
      <c r="G875" s="237" t="s">
        <v>209</v>
      </c>
    </row>
    <row r="876" spans="1:7" ht="15.75">
      <c r="A876" s="243">
        <v>47</v>
      </c>
      <c r="B876" s="251">
        <f t="shared" si="80"/>
        <v>42184</v>
      </c>
      <c r="C876" s="228" t="s">
        <v>195</v>
      </c>
      <c r="D876" s="229" t="s">
        <v>3</v>
      </c>
      <c r="E876" s="230" t="s">
        <v>76</v>
      </c>
      <c r="F876" s="236">
        <v>300000</v>
      </c>
      <c r="G876" s="237" t="s">
        <v>209</v>
      </c>
    </row>
    <row r="877" spans="1:7" ht="15.75">
      <c r="A877" s="243">
        <v>48</v>
      </c>
      <c r="B877" s="251">
        <f t="shared" si="80"/>
        <v>42184</v>
      </c>
      <c r="C877" s="228" t="s">
        <v>195</v>
      </c>
      <c r="D877" s="229" t="s">
        <v>2</v>
      </c>
      <c r="E877" s="230" t="s">
        <v>357</v>
      </c>
      <c r="F877" s="236">
        <v>8613000</v>
      </c>
      <c r="G877" s="237" t="s">
        <v>209</v>
      </c>
    </row>
    <row r="878" spans="1:7" ht="15.75">
      <c r="A878" s="243">
        <v>49</v>
      </c>
      <c r="B878" s="251">
        <f t="shared" si="80"/>
        <v>42184</v>
      </c>
      <c r="C878" s="228" t="s">
        <v>195</v>
      </c>
      <c r="D878" s="229" t="s">
        <v>57</v>
      </c>
      <c r="E878" s="230" t="s">
        <v>184</v>
      </c>
      <c r="F878" s="236">
        <v>225000</v>
      </c>
      <c r="G878" s="237" t="s">
        <v>209</v>
      </c>
    </row>
    <row r="879" spans="1:7" ht="15.75">
      <c r="A879" s="243">
        <v>50</v>
      </c>
      <c r="B879" s="251">
        <f>B878</f>
        <v>42184</v>
      </c>
      <c r="C879" s="228" t="s">
        <v>195</v>
      </c>
      <c r="D879" s="229" t="s">
        <v>57</v>
      </c>
      <c r="E879" s="230" t="s">
        <v>313</v>
      </c>
      <c r="F879" s="236">
        <v>200000</v>
      </c>
      <c r="G879" s="237" t="str">
        <f>G878</f>
        <v>T. pilihan</v>
      </c>
    </row>
    <row r="880" spans="1:7" ht="15.75">
      <c r="A880" s="243">
        <v>41</v>
      </c>
      <c r="B880" s="251">
        <f>B879+1</f>
        <v>42185</v>
      </c>
      <c r="C880" s="228" t="s">
        <v>195</v>
      </c>
      <c r="D880" s="229"/>
      <c r="E880" s="239" t="s">
        <v>17</v>
      </c>
      <c r="F880" s="236"/>
      <c r="G880" s="237" t="s">
        <v>209</v>
      </c>
    </row>
    <row r="881" spans="1:7" ht="15.75">
      <c r="A881" s="243">
        <v>42</v>
      </c>
      <c r="B881" s="251">
        <f t="shared" ref="B881:B888" si="81">B880</f>
        <v>42185</v>
      </c>
      <c r="C881" s="228" t="s">
        <v>195</v>
      </c>
      <c r="D881" s="229" t="s">
        <v>42</v>
      </c>
      <c r="E881" s="230" t="s">
        <v>364</v>
      </c>
      <c r="F881" s="236">
        <v>10568660.869565219</v>
      </c>
      <c r="G881" s="237" t="s">
        <v>209</v>
      </c>
    </row>
    <row r="882" spans="1:7" ht="15.75">
      <c r="A882" s="243">
        <v>43</v>
      </c>
      <c r="B882" s="251">
        <f t="shared" si="81"/>
        <v>42185</v>
      </c>
      <c r="C882" s="228" t="s">
        <v>195</v>
      </c>
      <c r="D882" s="229" t="s">
        <v>2</v>
      </c>
      <c r="E882" s="230" t="s">
        <v>170</v>
      </c>
      <c r="F882" s="236">
        <v>1170000</v>
      </c>
      <c r="G882" s="237" t="s">
        <v>209</v>
      </c>
    </row>
    <row r="883" spans="1:7" ht="15.75">
      <c r="A883" s="243">
        <v>44</v>
      </c>
      <c r="B883" s="251">
        <f t="shared" si="81"/>
        <v>42185</v>
      </c>
      <c r="C883" s="228" t="s">
        <v>195</v>
      </c>
      <c r="D883" s="229" t="s">
        <v>2</v>
      </c>
      <c r="E883" s="230" t="s">
        <v>81</v>
      </c>
      <c r="F883" s="236">
        <v>207000</v>
      </c>
      <c r="G883" s="237" t="s">
        <v>209</v>
      </c>
    </row>
    <row r="884" spans="1:7" ht="15.75">
      <c r="A884" s="243">
        <v>45</v>
      </c>
      <c r="B884" s="251">
        <f t="shared" si="81"/>
        <v>42185</v>
      </c>
      <c r="C884" s="228" t="s">
        <v>195</v>
      </c>
      <c r="D884" s="229" t="s">
        <v>57</v>
      </c>
      <c r="E884" s="230" t="s">
        <v>79</v>
      </c>
      <c r="F884" s="236">
        <v>200000</v>
      </c>
      <c r="G884" s="237" t="s">
        <v>209</v>
      </c>
    </row>
    <row r="885" spans="1:7" ht="15.75">
      <c r="A885" s="243">
        <v>46</v>
      </c>
      <c r="B885" s="251">
        <f t="shared" si="81"/>
        <v>42185</v>
      </c>
      <c r="C885" s="228" t="s">
        <v>195</v>
      </c>
      <c r="D885" s="229" t="s">
        <v>57</v>
      </c>
      <c r="E885" s="230" t="s">
        <v>188</v>
      </c>
      <c r="F885" s="236">
        <v>70000</v>
      </c>
      <c r="G885" s="237" t="s">
        <v>209</v>
      </c>
    </row>
    <row r="886" spans="1:7" ht="15.75">
      <c r="A886" s="243">
        <v>47</v>
      </c>
      <c r="B886" s="251">
        <f t="shared" si="81"/>
        <v>42185</v>
      </c>
      <c r="C886" s="228" t="s">
        <v>195</v>
      </c>
      <c r="D886" s="229" t="s">
        <v>3</v>
      </c>
      <c r="E886" s="230" t="s">
        <v>76</v>
      </c>
      <c r="F886" s="236">
        <v>300000</v>
      </c>
      <c r="G886" s="237" t="s">
        <v>209</v>
      </c>
    </row>
    <row r="887" spans="1:7" ht="15.75">
      <c r="A887" s="243">
        <v>48</v>
      </c>
      <c r="B887" s="251">
        <f t="shared" si="81"/>
        <v>42185</v>
      </c>
      <c r="C887" s="228" t="s">
        <v>195</v>
      </c>
      <c r="D887" s="229" t="s">
        <v>2</v>
      </c>
      <c r="E887" s="230" t="s">
        <v>357</v>
      </c>
      <c r="F887" s="236">
        <v>8613000</v>
      </c>
      <c r="G887" s="237" t="s">
        <v>209</v>
      </c>
    </row>
    <row r="888" spans="1:7" ht="15.75">
      <c r="A888" s="243">
        <v>49</v>
      </c>
      <c r="B888" s="251">
        <f t="shared" si="81"/>
        <v>42185</v>
      </c>
      <c r="C888" s="228" t="s">
        <v>195</v>
      </c>
      <c r="D888" s="229" t="s">
        <v>57</v>
      </c>
      <c r="E888" s="230" t="s">
        <v>184</v>
      </c>
      <c r="F888" s="236">
        <v>225000</v>
      </c>
      <c r="G888" s="237" t="s">
        <v>209</v>
      </c>
    </row>
    <row r="889" spans="1:7" ht="15.75">
      <c r="A889" s="243">
        <v>50</v>
      </c>
      <c r="B889" s="251">
        <f>B888</f>
        <v>42185</v>
      </c>
      <c r="C889" s="228" t="s">
        <v>195</v>
      </c>
      <c r="D889" s="229" t="s">
        <v>57</v>
      </c>
      <c r="E889" s="230" t="s">
        <v>313</v>
      </c>
      <c r="F889" s="236">
        <v>200000</v>
      </c>
      <c r="G889" s="237" t="str">
        <f>G888</f>
        <v>T. pilihan</v>
      </c>
    </row>
    <row r="890" spans="1:7" ht="15.75">
      <c r="A890" s="243">
        <v>41</v>
      </c>
      <c r="B890" s="251">
        <f>B889+1</f>
        <v>42186</v>
      </c>
      <c r="C890" s="228" t="s">
        <v>195</v>
      </c>
      <c r="D890" s="229"/>
      <c r="E890" s="239" t="s">
        <v>17</v>
      </c>
      <c r="F890" s="236"/>
      <c r="G890" s="237" t="s">
        <v>209</v>
      </c>
    </row>
    <row r="891" spans="1:7" ht="15.75">
      <c r="A891" s="243">
        <v>42</v>
      </c>
      <c r="B891" s="251">
        <f t="shared" ref="B891:B898" si="82">B890</f>
        <v>42186</v>
      </c>
      <c r="C891" s="228" t="s">
        <v>195</v>
      </c>
      <c r="D891" s="229" t="s">
        <v>42</v>
      </c>
      <c r="E891" s="230" t="s">
        <v>364</v>
      </c>
      <c r="F891" s="236">
        <v>10568660.869565219</v>
      </c>
      <c r="G891" s="237" t="s">
        <v>209</v>
      </c>
    </row>
    <row r="892" spans="1:7" ht="15.75">
      <c r="A892" s="243">
        <v>43</v>
      </c>
      <c r="B892" s="251">
        <f t="shared" si="82"/>
        <v>42186</v>
      </c>
      <c r="C892" s="228" t="s">
        <v>195</v>
      </c>
      <c r="D892" s="229" t="s">
        <v>2</v>
      </c>
      <c r="E892" s="230" t="s">
        <v>170</v>
      </c>
      <c r="F892" s="236">
        <v>1170000</v>
      </c>
      <c r="G892" s="237" t="s">
        <v>209</v>
      </c>
    </row>
    <row r="893" spans="1:7" ht="15.75">
      <c r="A893" s="243">
        <v>44</v>
      </c>
      <c r="B893" s="251">
        <f t="shared" si="82"/>
        <v>42186</v>
      </c>
      <c r="C893" s="228" t="s">
        <v>195</v>
      </c>
      <c r="D893" s="229" t="s">
        <v>2</v>
      </c>
      <c r="E893" s="230" t="s">
        <v>81</v>
      </c>
      <c r="F893" s="236">
        <v>207000</v>
      </c>
      <c r="G893" s="237" t="s">
        <v>209</v>
      </c>
    </row>
    <row r="894" spans="1:7" ht="15.75">
      <c r="A894" s="243">
        <v>45</v>
      </c>
      <c r="B894" s="251">
        <f t="shared" si="82"/>
        <v>42186</v>
      </c>
      <c r="C894" s="228" t="s">
        <v>195</v>
      </c>
      <c r="D894" s="229" t="s">
        <v>57</v>
      </c>
      <c r="E894" s="230" t="s">
        <v>79</v>
      </c>
      <c r="F894" s="236">
        <v>200000</v>
      </c>
      <c r="G894" s="237" t="s">
        <v>209</v>
      </c>
    </row>
    <row r="895" spans="1:7" ht="15.75">
      <c r="A895" s="243">
        <v>46</v>
      </c>
      <c r="B895" s="251">
        <f t="shared" si="82"/>
        <v>42186</v>
      </c>
      <c r="C895" s="228" t="s">
        <v>195</v>
      </c>
      <c r="D895" s="229" t="s">
        <v>57</v>
      </c>
      <c r="E895" s="230" t="s">
        <v>188</v>
      </c>
      <c r="F895" s="236">
        <v>70000</v>
      </c>
      <c r="G895" s="237" t="s">
        <v>209</v>
      </c>
    </row>
    <row r="896" spans="1:7" ht="15.75">
      <c r="A896" s="243">
        <v>47</v>
      </c>
      <c r="B896" s="251">
        <f t="shared" si="82"/>
        <v>42186</v>
      </c>
      <c r="C896" s="228" t="s">
        <v>195</v>
      </c>
      <c r="D896" s="229" t="s">
        <v>3</v>
      </c>
      <c r="E896" s="230" t="s">
        <v>76</v>
      </c>
      <c r="F896" s="236">
        <v>300000</v>
      </c>
      <c r="G896" s="237" t="s">
        <v>209</v>
      </c>
    </row>
    <row r="897" spans="1:7" ht="15.75">
      <c r="A897" s="243">
        <v>48</v>
      </c>
      <c r="B897" s="251">
        <f t="shared" si="82"/>
        <v>42186</v>
      </c>
      <c r="C897" s="228" t="s">
        <v>195</v>
      </c>
      <c r="D897" s="229" t="s">
        <v>2</v>
      </c>
      <c r="E897" s="230" t="s">
        <v>357</v>
      </c>
      <c r="F897" s="236">
        <v>8613000</v>
      </c>
      <c r="G897" s="237" t="s">
        <v>209</v>
      </c>
    </row>
    <row r="898" spans="1:7" ht="15.75">
      <c r="A898" s="243">
        <v>49</v>
      </c>
      <c r="B898" s="251">
        <f t="shared" si="82"/>
        <v>42186</v>
      </c>
      <c r="C898" s="228" t="s">
        <v>195</v>
      </c>
      <c r="D898" s="229" t="s">
        <v>57</v>
      </c>
      <c r="E898" s="230" t="s">
        <v>184</v>
      </c>
      <c r="F898" s="236">
        <v>225000</v>
      </c>
      <c r="G898" s="237" t="s">
        <v>209</v>
      </c>
    </row>
    <row r="899" spans="1:7" ht="15.75">
      <c r="A899" s="243">
        <v>50</v>
      </c>
      <c r="B899" s="251">
        <f>B898</f>
        <v>42186</v>
      </c>
      <c r="C899" s="228" t="s">
        <v>195</v>
      </c>
      <c r="D899" s="229" t="s">
        <v>57</v>
      </c>
      <c r="E899" s="230" t="s">
        <v>313</v>
      </c>
      <c r="F899" s="236">
        <v>200000</v>
      </c>
      <c r="G899" s="237" t="str">
        <f>G898</f>
        <v>T. pilihan</v>
      </c>
    </row>
    <row r="900" spans="1:7" ht="15.75">
      <c r="A900" s="243">
        <v>41</v>
      </c>
      <c r="B900" s="251">
        <f>B899+1</f>
        <v>42187</v>
      </c>
      <c r="C900" s="228" t="s">
        <v>195</v>
      </c>
      <c r="D900" s="229"/>
      <c r="E900" s="239" t="s">
        <v>17</v>
      </c>
      <c r="F900" s="236"/>
      <c r="G900" s="237" t="s">
        <v>209</v>
      </c>
    </row>
    <row r="901" spans="1:7" ht="15.75">
      <c r="A901" s="243">
        <v>42</v>
      </c>
      <c r="B901" s="251">
        <f t="shared" ref="B901:B908" si="83">B900</f>
        <v>42187</v>
      </c>
      <c r="C901" s="228" t="s">
        <v>195</v>
      </c>
      <c r="D901" s="229" t="s">
        <v>42</v>
      </c>
      <c r="E901" s="230" t="s">
        <v>364</v>
      </c>
      <c r="F901" s="236">
        <v>10568660.869565219</v>
      </c>
      <c r="G901" s="237" t="s">
        <v>209</v>
      </c>
    </row>
    <row r="902" spans="1:7" ht="15.75">
      <c r="A902" s="243">
        <v>43</v>
      </c>
      <c r="B902" s="251">
        <f t="shared" si="83"/>
        <v>42187</v>
      </c>
      <c r="C902" s="228" t="s">
        <v>195</v>
      </c>
      <c r="D902" s="229" t="s">
        <v>2</v>
      </c>
      <c r="E902" s="230" t="s">
        <v>170</v>
      </c>
      <c r="F902" s="236">
        <v>1170000</v>
      </c>
      <c r="G902" s="237" t="s">
        <v>209</v>
      </c>
    </row>
    <row r="903" spans="1:7" ht="15.75">
      <c r="A903" s="243">
        <v>44</v>
      </c>
      <c r="B903" s="251">
        <f t="shared" si="83"/>
        <v>42187</v>
      </c>
      <c r="C903" s="228" t="s">
        <v>195</v>
      </c>
      <c r="D903" s="229" t="s">
        <v>2</v>
      </c>
      <c r="E903" s="230" t="s">
        <v>81</v>
      </c>
      <c r="F903" s="236">
        <v>207000</v>
      </c>
      <c r="G903" s="237" t="s">
        <v>209</v>
      </c>
    </row>
    <row r="904" spans="1:7" ht="15.75">
      <c r="A904" s="243">
        <v>45</v>
      </c>
      <c r="B904" s="251">
        <f t="shared" si="83"/>
        <v>42187</v>
      </c>
      <c r="C904" s="228" t="s">
        <v>195</v>
      </c>
      <c r="D904" s="229" t="s">
        <v>57</v>
      </c>
      <c r="E904" s="230" t="s">
        <v>79</v>
      </c>
      <c r="F904" s="236">
        <v>200000</v>
      </c>
      <c r="G904" s="237" t="s">
        <v>209</v>
      </c>
    </row>
    <row r="905" spans="1:7" ht="15.75">
      <c r="A905" s="243">
        <v>46</v>
      </c>
      <c r="B905" s="251">
        <f t="shared" si="83"/>
        <v>42187</v>
      </c>
      <c r="C905" s="228" t="s">
        <v>195</v>
      </c>
      <c r="D905" s="229" t="s">
        <v>57</v>
      </c>
      <c r="E905" s="230" t="s">
        <v>188</v>
      </c>
      <c r="F905" s="236">
        <v>70000</v>
      </c>
      <c r="G905" s="237" t="s">
        <v>209</v>
      </c>
    </row>
    <row r="906" spans="1:7" ht="15.75">
      <c r="A906" s="243">
        <v>47</v>
      </c>
      <c r="B906" s="251">
        <f t="shared" si="83"/>
        <v>42187</v>
      </c>
      <c r="C906" s="228" t="s">
        <v>195</v>
      </c>
      <c r="D906" s="229" t="s">
        <v>3</v>
      </c>
      <c r="E906" s="230" t="s">
        <v>76</v>
      </c>
      <c r="F906" s="236">
        <v>300000</v>
      </c>
      <c r="G906" s="237" t="s">
        <v>209</v>
      </c>
    </row>
    <row r="907" spans="1:7" ht="15.75">
      <c r="A907" s="243">
        <v>48</v>
      </c>
      <c r="B907" s="251">
        <f t="shared" si="83"/>
        <v>42187</v>
      </c>
      <c r="C907" s="228" t="s">
        <v>195</v>
      </c>
      <c r="D907" s="229" t="s">
        <v>2</v>
      </c>
      <c r="E907" s="230" t="s">
        <v>357</v>
      </c>
      <c r="F907" s="236">
        <v>8613000</v>
      </c>
      <c r="G907" s="237" t="s">
        <v>209</v>
      </c>
    </row>
    <row r="908" spans="1:7" ht="15.75">
      <c r="A908" s="243">
        <v>49</v>
      </c>
      <c r="B908" s="251">
        <f t="shared" si="83"/>
        <v>42187</v>
      </c>
      <c r="C908" s="228" t="s">
        <v>195</v>
      </c>
      <c r="D908" s="229" t="s">
        <v>57</v>
      </c>
      <c r="E908" s="230" t="s">
        <v>184</v>
      </c>
      <c r="F908" s="236">
        <v>225000</v>
      </c>
      <c r="G908" s="237" t="s">
        <v>209</v>
      </c>
    </row>
    <row r="909" spans="1:7" ht="15.75">
      <c r="A909" s="243">
        <v>50</v>
      </c>
      <c r="B909" s="251">
        <f>B908</f>
        <v>42187</v>
      </c>
      <c r="C909" s="228" t="s">
        <v>195</v>
      </c>
      <c r="D909" s="229" t="s">
        <v>57</v>
      </c>
      <c r="E909" s="230" t="s">
        <v>313</v>
      </c>
      <c r="F909" s="236">
        <v>200000</v>
      </c>
      <c r="G909" s="237" t="str">
        <f>G908</f>
        <v>T. pilihan</v>
      </c>
    </row>
    <row r="910" spans="1:7" ht="15.75">
      <c r="A910" s="243">
        <v>41</v>
      </c>
      <c r="B910" s="251">
        <f>B909+1</f>
        <v>42188</v>
      </c>
      <c r="C910" s="228" t="s">
        <v>195</v>
      </c>
      <c r="D910" s="229"/>
      <c r="E910" s="239" t="s">
        <v>17</v>
      </c>
      <c r="F910" s="236"/>
      <c r="G910" s="237" t="s">
        <v>209</v>
      </c>
    </row>
    <row r="911" spans="1:7" ht="15.75">
      <c r="A911" s="243">
        <v>42</v>
      </c>
      <c r="B911" s="251">
        <f t="shared" ref="B911:B918" si="84">B910</f>
        <v>42188</v>
      </c>
      <c r="C911" s="228" t="s">
        <v>195</v>
      </c>
      <c r="D911" s="229" t="s">
        <v>42</v>
      </c>
      <c r="E911" s="230" t="s">
        <v>364</v>
      </c>
      <c r="F911" s="236">
        <v>10568660.869565219</v>
      </c>
      <c r="G911" s="237" t="s">
        <v>209</v>
      </c>
    </row>
    <row r="912" spans="1:7" ht="15.75">
      <c r="A912" s="243">
        <v>43</v>
      </c>
      <c r="B912" s="251">
        <f t="shared" si="84"/>
        <v>42188</v>
      </c>
      <c r="C912" s="228" t="s">
        <v>195</v>
      </c>
      <c r="D912" s="229" t="s">
        <v>2</v>
      </c>
      <c r="E912" s="230" t="s">
        <v>170</v>
      </c>
      <c r="F912" s="236">
        <v>1170000</v>
      </c>
      <c r="G912" s="237" t="s">
        <v>209</v>
      </c>
    </row>
    <row r="913" spans="1:7" ht="15.75">
      <c r="A913" s="243">
        <v>44</v>
      </c>
      <c r="B913" s="251">
        <f t="shared" si="84"/>
        <v>42188</v>
      </c>
      <c r="C913" s="228" t="s">
        <v>195</v>
      </c>
      <c r="D913" s="229" t="s">
        <v>2</v>
      </c>
      <c r="E913" s="230" t="s">
        <v>81</v>
      </c>
      <c r="F913" s="236">
        <v>207000</v>
      </c>
      <c r="G913" s="237" t="s">
        <v>209</v>
      </c>
    </row>
    <row r="914" spans="1:7" ht="15.75">
      <c r="A914" s="243">
        <v>45</v>
      </c>
      <c r="B914" s="251">
        <f t="shared" si="84"/>
        <v>42188</v>
      </c>
      <c r="C914" s="228" t="s">
        <v>195</v>
      </c>
      <c r="D914" s="229" t="s">
        <v>57</v>
      </c>
      <c r="E914" s="230" t="s">
        <v>79</v>
      </c>
      <c r="F914" s="236">
        <v>200000</v>
      </c>
      <c r="G914" s="237" t="s">
        <v>209</v>
      </c>
    </row>
    <row r="915" spans="1:7" ht="15.75">
      <c r="A915" s="243">
        <v>46</v>
      </c>
      <c r="B915" s="251">
        <f t="shared" si="84"/>
        <v>42188</v>
      </c>
      <c r="C915" s="228" t="s">
        <v>195</v>
      </c>
      <c r="D915" s="229" t="s">
        <v>57</v>
      </c>
      <c r="E915" s="230" t="s">
        <v>188</v>
      </c>
      <c r="F915" s="236">
        <v>70000</v>
      </c>
      <c r="G915" s="237" t="s">
        <v>209</v>
      </c>
    </row>
    <row r="916" spans="1:7" ht="15.75">
      <c r="A916" s="243">
        <v>47</v>
      </c>
      <c r="B916" s="251">
        <f t="shared" si="84"/>
        <v>42188</v>
      </c>
      <c r="C916" s="228" t="s">
        <v>195</v>
      </c>
      <c r="D916" s="229" t="s">
        <v>3</v>
      </c>
      <c r="E916" s="230" t="s">
        <v>76</v>
      </c>
      <c r="F916" s="236">
        <v>300000</v>
      </c>
      <c r="G916" s="237" t="s">
        <v>209</v>
      </c>
    </row>
    <row r="917" spans="1:7" ht="15.75">
      <c r="A917" s="243">
        <v>48</v>
      </c>
      <c r="B917" s="251">
        <f t="shared" si="84"/>
        <v>42188</v>
      </c>
      <c r="C917" s="228" t="s">
        <v>195</v>
      </c>
      <c r="D917" s="229" t="s">
        <v>2</v>
      </c>
      <c r="E917" s="230" t="s">
        <v>357</v>
      </c>
      <c r="F917" s="236">
        <v>8613000</v>
      </c>
      <c r="G917" s="237" t="s">
        <v>209</v>
      </c>
    </row>
    <row r="918" spans="1:7" ht="15.75">
      <c r="A918" s="243">
        <v>49</v>
      </c>
      <c r="B918" s="251">
        <f t="shared" si="84"/>
        <v>42188</v>
      </c>
      <c r="C918" s="228" t="s">
        <v>195</v>
      </c>
      <c r="D918" s="229" t="s">
        <v>57</v>
      </c>
      <c r="E918" s="230" t="s">
        <v>184</v>
      </c>
      <c r="F918" s="236">
        <v>225000</v>
      </c>
      <c r="G918" s="237" t="s">
        <v>209</v>
      </c>
    </row>
    <row r="919" spans="1:7" ht="15.75">
      <c r="A919" s="243">
        <v>50</v>
      </c>
      <c r="B919" s="251">
        <f>B918</f>
        <v>42188</v>
      </c>
      <c r="C919" s="228" t="s">
        <v>195</v>
      </c>
      <c r="D919" s="229" t="s">
        <v>57</v>
      </c>
      <c r="E919" s="230" t="s">
        <v>313</v>
      </c>
      <c r="F919" s="236">
        <v>200000</v>
      </c>
      <c r="G919" s="237" t="str">
        <f>G918</f>
        <v>T. pilihan</v>
      </c>
    </row>
    <row r="920" spans="1:7" ht="15.75">
      <c r="A920" s="243">
        <v>41</v>
      </c>
      <c r="B920" s="251">
        <f>B919+1</f>
        <v>42189</v>
      </c>
      <c r="C920" s="228" t="s">
        <v>195</v>
      </c>
      <c r="D920" s="229"/>
      <c r="E920" s="239" t="s">
        <v>17</v>
      </c>
      <c r="F920" s="236"/>
      <c r="G920" s="237" t="s">
        <v>209</v>
      </c>
    </row>
    <row r="921" spans="1:7" ht="15.75">
      <c r="A921" s="243">
        <v>42</v>
      </c>
      <c r="B921" s="251">
        <f t="shared" ref="B921:B928" si="85">B920</f>
        <v>42189</v>
      </c>
      <c r="C921" s="228" t="s">
        <v>195</v>
      </c>
      <c r="D921" s="229" t="s">
        <v>42</v>
      </c>
      <c r="E921" s="230" t="s">
        <v>364</v>
      </c>
      <c r="F921" s="236">
        <v>10568660.869565219</v>
      </c>
      <c r="G921" s="237" t="s">
        <v>209</v>
      </c>
    </row>
    <row r="922" spans="1:7" ht="15.75">
      <c r="A922" s="243">
        <v>43</v>
      </c>
      <c r="B922" s="251">
        <f t="shared" si="85"/>
        <v>42189</v>
      </c>
      <c r="C922" s="228" t="s">
        <v>195</v>
      </c>
      <c r="D922" s="229" t="s">
        <v>2</v>
      </c>
      <c r="E922" s="230" t="s">
        <v>170</v>
      </c>
      <c r="F922" s="236">
        <v>1170000</v>
      </c>
      <c r="G922" s="237" t="s">
        <v>209</v>
      </c>
    </row>
    <row r="923" spans="1:7" ht="15.75">
      <c r="A923" s="243">
        <v>44</v>
      </c>
      <c r="B923" s="251">
        <f t="shared" si="85"/>
        <v>42189</v>
      </c>
      <c r="C923" s="228" t="s">
        <v>195</v>
      </c>
      <c r="D923" s="229" t="s">
        <v>2</v>
      </c>
      <c r="E923" s="230" t="s">
        <v>81</v>
      </c>
      <c r="F923" s="236">
        <v>207000</v>
      </c>
      <c r="G923" s="237" t="s">
        <v>209</v>
      </c>
    </row>
    <row r="924" spans="1:7" ht="15.75">
      <c r="A924" s="243">
        <v>45</v>
      </c>
      <c r="B924" s="251">
        <f t="shared" si="85"/>
        <v>42189</v>
      </c>
      <c r="C924" s="228" t="s">
        <v>195</v>
      </c>
      <c r="D924" s="229" t="s">
        <v>57</v>
      </c>
      <c r="E924" s="230" t="s">
        <v>79</v>
      </c>
      <c r="F924" s="236">
        <v>200000</v>
      </c>
      <c r="G924" s="237" t="s">
        <v>209</v>
      </c>
    </row>
    <row r="925" spans="1:7" ht="15.75">
      <c r="A925" s="243">
        <v>46</v>
      </c>
      <c r="B925" s="251">
        <f t="shared" si="85"/>
        <v>42189</v>
      </c>
      <c r="C925" s="228" t="s">
        <v>195</v>
      </c>
      <c r="D925" s="229" t="s">
        <v>57</v>
      </c>
      <c r="E925" s="230" t="s">
        <v>188</v>
      </c>
      <c r="F925" s="236">
        <v>70000</v>
      </c>
      <c r="G925" s="237" t="s">
        <v>209</v>
      </c>
    </row>
    <row r="926" spans="1:7" ht="15.75">
      <c r="A926" s="243">
        <v>47</v>
      </c>
      <c r="B926" s="251">
        <f t="shared" si="85"/>
        <v>42189</v>
      </c>
      <c r="C926" s="228" t="s">
        <v>195</v>
      </c>
      <c r="D926" s="229" t="s">
        <v>3</v>
      </c>
      <c r="E926" s="230" t="s">
        <v>76</v>
      </c>
      <c r="F926" s="236">
        <v>300000</v>
      </c>
      <c r="G926" s="237" t="s">
        <v>209</v>
      </c>
    </row>
    <row r="927" spans="1:7" ht="15.75">
      <c r="A927" s="243">
        <v>48</v>
      </c>
      <c r="B927" s="251">
        <f t="shared" si="85"/>
        <v>42189</v>
      </c>
      <c r="C927" s="228" t="s">
        <v>195</v>
      </c>
      <c r="D927" s="229" t="s">
        <v>2</v>
      </c>
      <c r="E927" s="230" t="s">
        <v>357</v>
      </c>
      <c r="F927" s="236">
        <v>8613000</v>
      </c>
      <c r="G927" s="237" t="s">
        <v>209</v>
      </c>
    </row>
    <row r="928" spans="1:7" ht="15.75">
      <c r="A928" s="243">
        <v>49</v>
      </c>
      <c r="B928" s="251">
        <f t="shared" si="85"/>
        <v>42189</v>
      </c>
      <c r="C928" s="228" t="s">
        <v>195</v>
      </c>
      <c r="D928" s="229" t="s">
        <v>57</v>
      </c>
      <c r="E928" s="230" t="s">
        <v>184</v>
      </c>
      <c r="F928" s="236">
        <v>225000</v>
      </c>
      <c r="G928" s="237" t="s">
        <v>209</v>
      </c>
    </row>
    <row r="929" spans="1:9" ht="15.75">
      <c r="A929" s="243">
        <v>50</v>
      </c>
      <c r="B929" s="251">
        <f>B928</f>
        <v>42189</v>
      </c>
      <c r="C929" s="228" t="s">
        <v>195</v>
      </c>
      <c r="D929" s="229" t="s">
        <v>57</v>
      </c>
      <c r="E929" s="230" t="s">
        <v>313</v>
      </c>
      <c r="F929" s="236">
        <v>200000</v>
      </c>
      <c r="G929" s="237" t="str">
        <f>G928</f>
        <v>T. pilihan</v>
      </c>
      <c r="H929" s="279">
        <f>SUBTOTAL(9,F303:F929)</f>
        <v>1997000495.6521757</v>
      </c>
    </row>
    <row r="930" spans="1:9" ht="15.75">
      <c r="A930" s="243">
        <v>41</v>
      </c>
      <c r="B930" s="251">
        <f>B929+1</f>
        <v>42190</v>
      </c>
      <c r="C930" s="228" t="s">
        <v>195</v>
      </c>
      <c r="D930" s="229"/>
      <c r="E930" s="239" t="s">
        <v>211</v>
      </c>
      <c r="F930" s="236"/>
      <c r="G930" s="237" t="s">
        <v>212</v>
      </c>
    </row>
    <row r="931" spans="1:9" ht="15.75">
      <c r="A931" s="243">
        <v>42</v>
      </c>
      <c r="B931" s="251">
        <f t="shared" ref="B931:B938" si="86">B930</f>
        <v>42190</v>
      </c>
      <c r="C931" s="228" t="s">
        <v>195</v>
      </c>
      <c r="D931" s="229" t="s">
        <v>2</v>
      </c>
      <c r="E931" s="244" t="s">
        <v>170</v>
      </c>
      <c r="F931" s="236">
        <f>Budget!G134/30</f>
        <v>1170000</v>
      </c>
      <c r="G931" s="237" t="s">
        <v>212</v>
      </c>
    </row>
    <row r="932" spans="1:9" ht="15.75">
      <c r="A932" s="243">
        <v>43</v>
      </c>
      <c r="B932" s="251">
        <f t="shared" si="86"/>
        <v>42190</v>
      </c>
      <c r="C932" s="228" t="s">
        <v>195</v>
      </c>
      <c r="D932" s="229" t="s">
        <v>2</v>
      </c>
      <c r="E932" s="244" t="s">
        <v>81</v>
      </c>
      <c r="F932" s="236">
        <f>Budget!G135/30</f>
        <v>207000</v>
      </c>
      <c r="G932" s="237" t="s">
        <v>212</v>
      </c>
    </row>
    <row r="933" spans="1:9" ht="15.75">
      <c r="A933" s="243">
        <v>44</v>
      </c>
      <c r="B933" s="251">
        <f t="shared" si="86"/>
        <v>42190</v>
      </c>
      <c r="C933" s="228" t="s">
        <v>195</v>
      </c>
      <c r="D933" s="229" t="s">
        <v>57</v>
      </c>
      <c r="E933" s="244" t="s">
        <v>79</v>
      </c>
      <c r="F933" s="236">
        <f>Budget!G136/30</f>
        <v>200000</v>
      </c>
      <c r="G933" s="237" t="s">
        <v>212</v>
      </c>
    </row>
    <row r="934" spans="1:9" ht="15.75">
      <c r="A934" s="243">
        <v>45</v>
      </c>
      <c r="B934" s="251">
        <f t="shared" si="86"/>
        <v>42190</v>
      </c>
      <c r="C934" s="228" t="s">
        <v>195</v>
      </c>
      <c r="D934" s="229" t="s">
        <v>57</v>
      </c>
      <c r="E934" s="244" t="s">
        <v>87</v>
      </c>
      <c r="F934" s="236">
        <f>Budget!G141/30</f>
        <v>70000</v>
      </c>
      <c r="G934" s="237" t="s">
        <v>212</v>
      </c>
    </row>
    <row r="935" spans="1:9" ht="15.75">
      <c r="A935" s="243">
        <v>46</v>
      </c>
      <c r="B935" s="251">
        <f t="shared" si="86"/>
        <v>42190</v>
      </c>
      <c r="C935" s="228" t="s">
        <v>195</v>
      </c>
      <c r="D935" s="229" t="s">
        <v>3</v>
      </c>
      <c r="E935" s="244" t="s">
        <v>76</v>
      </c>
      <c r="F935" s="236">
        <f>[41]Budget!$G$168/28</f>
        <v>300000</v>
      </c>
      <c r="G935" s="237" t="s">
        <v>212</v>
      </c>
    </row>
    <row r="936" spans="1:9" ht="15.75">
      <c r="A936" s="243">
        <v>47</v>
      </c>
      <c r="B936" s="251">
        <f t="shared" si="86"/>
        <v>42190</v>
      </c>
      <c r="C936" s="228" t="s">
        <v>195</v>
      </c>
      <c r="D936" s="229" t="s">
        <v>2</v>
      </c>
      <c r="E936" s="244" t="s">
        <v>357</v>
      </c>
      <c r="F936" s="236">
        <f>Budget!G143/30</f>
        <v>6345000</v>
      </c>
      <c r="G936" s="237" t="s">
        <v>212</v>
      </c>
    </row>
    <row r="937" spans="1:9" ht="15.75">
      <c r="A937" s="243">
        <v>48</v>
      </c>
      <c r="B937" s="251">
        <f t="shared" si="86"/>
        <v>42190</v>
      </c>
      <c r="C937" s="228" t="s">
        <v>195</v>
      </c>
      <c r="D937" s="229" t="s">
        <v>57</v>
      </c>
      <c r="E937" s="244" t="s">
        <v>186</v>
      </c>
      <c r="F937" s="236">
        <f>Budget!G144/Budget!K132</f>
        <v>150000</v>
      </c>
      <c r="G937" s="237" t="s">
        <v>212</v>
      </c>
    </row>
    <row r="938" spans="1:9" ht="15.75">
      <c r="A938" s="243">
        <v>49</v>
      </c>
      <c r="B938" s="251">
        <f t="shared" si="86"/>
        <v>42190</v>
      </c>
      <c r="C938" s="228" t="s">
        <v>195</v>
      </c>
      <c r="D938" s="229" t="s">
        <v>57</v>
      </c>
      <c r="E938" s="230" t="s">
        <v>313</v>
      </c>
      <c r="F938" s="236">
        <v>200000</v>
      </c>
      <c r="G938" s="237" t="str">
        <f>G937</f>
        <v>Kelas A</v>
      </c>
    </row>
    <row r="939" spans="1:9" ht="15.75">
      <c r="A939" s="243">
        <f t="shared" ref="A939" si="87">A938+1</f>
        <v>50</v>
      </c>
      <c r="B939" s="251">
        <f>B938</f>
        <v>42190</v>
      </c>
      <c r="C939" s="228" t="s">
        <v>195</v>
      </c>
      <c r="D939" s="229" t="s">
        <v>57</v>
      </c>
      <c r="E939" s="230" t="s">
        <v>226</v>
      </c>
      <c r="F939" s="236">
        <f>5*35000*14</f>
        <v>2450000</v>
      </c>
      <c r="G939" s="237" t="s">
        <v>225</v>
      </c>
      <c r="H939" s="227">
        <v>14</v>
      </c>
    </row>
    <row r="940" spans="1:9">
      <c r="A940" s="243"/>
      <c r="B940" s="240"/>
      <c r="C940" s="242"/>
      <c r="D940" s="245"/>
      <c r="E940" s="230"/>
      <c r="F940" s="236"/>
      <c r="G940" s="237"/>
      <c r="I940" s="277"/>
    </row>
    <row r="941" spans="1:9" s="269" customFormat="1" ht="15">
      <c r="A941" s="262"/>
      <c r="B941" s="263" t="s">
        <v>189</v>
      </c>
      <c r="C941" s="264">
        <f>B938+1</f>
        <v>42191</v>
      </c>
      <c r="D941" s="264">
        <f>C941+6</f>
        <v>42197</v>
      </c>
      <c r="E941" s="265"/>
      <c r="F941" s="266">
        <f>SUM(F942:F1005)</f>
        <v>61719000</v>
      </c>
      <c r="G941" s="267" t="s">
        <v>251</v>
      </c>
      <c r="H941" s="268"/>
      <c r="I941" s="227"/>
    </row>
    <row r="942" spans="1:9" ht="15.75">
      <c r="A942" s="243">
        <v>1</v>
      </c>
      <c r="B942" s="251">
        <f>C941</f>
        <v>42191</v>
      </c>
      <c r="C942" s="228" t="s">
        <v>195</v>
      </c>
      <c r="D942" s="229"/>
      <c r="E942" s="239" t="s">
        <v>211</v>
      </c>
      <c r="F942" s="236"/>
      <c r="G942" s="237" t="s">
        <v>212</v>
      </c>
      <c r="H942" s="233"/>
    </row>
    <row r="943" spans="1:9" ht="15.75">
      <c r="A943" s="243">
        <v>2</v>
      </c>
      <c r="B943" s="251">
        <f>B942</f>
        <v>42191</v>
      </c>
      <c r="C943" s="228" t="s">
        <v>195</v>
      </c>
      <c r="D943" s="229" t="s">
        <v>2</v>
      </c>
      <c r="E943" s="244" t="s">
        <v>170</v>
      </c>
      <c r="F943" s="236">
        <v>1170000</v>
      </c>
      <c r="G943" s="237" t="s">
        <v>212</v>
      </c>
      <c r="H943" s="226"/>
    </row>
    <row r="944" spans="1:9" ht="15.75">
      <c r="A944" s="243">
        <v>3</v>
      </c>
      <c r="B944" s="251">
        <f t="shared" ref="B944:B949" si="88">B943</f>
        <v>42191</v>
      </c>
      <c r="C944" s="228" t="s">
        <v>195</v>
      </c>
      <c r="D944" s="229" t="s">
        <v>2</v>
      </c>
      <c r="E944" s="244" t="s">
        <v>81</v>
      </c>
      <c r="F944" s="236">
        <v>207000</v>
      </c>
      <c r="G944" s="237" t="s">
        <v>212</v>
      </c>
      <c r="H944" s="226"/>
    </row>
    <row r="945" spans="1:8" ht="15.75">
      <c r="A945" s="243">
        <v>4</v>
      </c>
      <c r="B945" s="251">
        <f t="shared" si="88"/>
        <v>42191</v>
      </c>
      <c r="C945" s="228" t="s">
        <v>195</v>
      </c>
      <c r="D945" s="229" t="s">
        <v>57</v>
      </c>
      <c r="E945" s="244" t="s">
        <v>79</v>
      </c>
      <c r="F945" s="236">
        <v>200000</v>
      </c>
      <c r="G945" s="237" t="s">
        <v>212</v>
      </c>
    </row>
    <row r="946" spans="1:8" ht="15.75">
      <c r="A946" s="243">
        <v>5</v>
      </c>
      <c r="B946" s="251">
        <f t="shared" si="88"/>
        <v>42191</v>
      </c>
      <c r="C946" s="228" t="s">
        <v>195</v>
      </c>
      <c r="D946" s="229" t="s">
        <v>57</v>
      </c>
      <c r="E946" s="244" t="s">
        <v>87</v>
      </c>
      <c r="F946" s="236">
        <v>70000</v>
      </c>
      <c r="G946" s="237" t="s">
        <v>212</v>
      </c>
    </row>
    <row r="947" spans="1:8" ht="15.75">
      <c r="A947" s="243">
        <v>6</v>
      </c>
      <c r="B947" s="251">
        <f t="shared" si="88"/>
        <v>42191</v>
      </c>
      <c r="C947" s="228" t="s">
        <v>195</v>
      </c>
      <c r="D947" s="229" t="s">
        <v>3</v>
      </c>
      <c r="E947" s="244" t="s">
        <v>76</v>
      </c>
      <c r="F947" s="236">
        <v>300000</v>
      </c>
      <c r="G947" s="237" t="s">
        <v>212</v>
      </c>
    </row>
    <row r="948" spans="1:8" ht="15.75">
      <c r="A948" s="243">
        <v>7</v>
      </c>
      <c r="B948" s="251">
        <f t="shared" si="88"/>
        <v>42191</v>
      </c>
      <c r="C948" s="228" t="s">
        <v>195</v>
      </c>
      <c r="D948" s="229" t="s">
        <v>2</v>
      </c>
      <c r="E948" s="244" t="s">
        <v>357</v>
      </c>
      <c r="F948" s="236">
        <v>6345000</v>
      </c>
      <c r="G948" s="237" t="s">
        <v>212</v>
      </c>
    </row>
    <row r="949" spans="1:8" ht="15.75">
      <c r="A949" s="243">
        <v>8</v>
      </c>
      <c r="B949" s="251">
        <f t="shared" si="88"/>
        <v>42191</v>
      </c>
      <c r="C949" s="228" t="s">
        <v>195</v>
      </c>
      <c r="D949" s="229" t="s">
        <v>57</v>
      </c>
      <c r="E949" s="244" t="s">
        <v>186</v>
      </c>
      <c r="F949" s="236">
        <v>150000</v>
      </c>
      <c r="G949" s="237" t="s">
        <v>212</v>
      </c>
    </row>
    <row r="950" spans="1:8" ht="15.75">
      <c r="A950" s="243">
        <v>9</v>
      </c>
      <c r="B950" s="251">
        <f>B949</f>
        <v>42191</v>
      </c>
      <c r="C950" s="228" t="s">
        <v>195</v>
      </c>
      <c r="D950" s="229" t="s">
        <v>57</v>
      </c>
      <c r="E950" s="244" t="s">
        <v>313</v>
      </c>
      <c r="F950" s="236">
        <v>200000</v>
      </c>
      <c r="G950" s="237" t="s">
        <v>212</v>
      </c>
    </row>
    <row r="951" spans="1:8" ht="15.75">
      <c r="A951" s="243">
        <v>1</v>
      </c>
      <c r="B951" s="251">
        <f>B950+1</f>
        <v>42192</v>
      </c>
      <c r="C951" s="228" t="s">
        <v>195</v>
      </c>
      <c r="D951" s="229"/>
      <c r="E951" s="239" t="s">
        <v>211</v>
      </c>
      <c r="F951" s="236"/>
      <c r="G951" s="237" t="s">
        <v>212</v>
      </c>
    </row>
    <row r="952" spans="1:8" ht="15.75">
      <c r="A952" s="243">
        <v>2</v>
      </c>
      <c r="B952" s="251">
        <f>B951</f>
        <v>42192</v>
      </c>
      <c r="C952" s="228" t="s">
        <v>195</v>
      </c>
      <c r="D952" s="229" t="s">
        <v>2</v>
      </c>
      <c r="E952" s="244" t="s">
        <v>170</v>
      </c>
      <c r="F952" s="236">
        <v>1170000</v>
      </c>
      <c r="G952" s="237" t="s">
        <v>212</v>
      </c>
      <c r="H952" s="226"/>
    </row>
    <row r="953" spans="1:8" ht="15.75">
      <c r="A953" s="243">
        <v>3</v>
      </c>
      <c r="B953" s="251">
        <f t="shared" ref="B953:B958" si="89">B952</f>
        <v>42192</v>
      </c>
      <c r="C953" s="228" t="s">
        <v>195</v>
      </c>
      <c r="D953" s="229" t="s">
        <v>2</v>
      </c>
      <c r="E953" s="244" t="s">
        <v>81</v>
      </c>
      <c r="F953" s="236">
        <v>207000</v>
      </c>
      <c r="G953" s="237" t="s">
        <v>212</v>
      </c>
      <c r="H953" s="226"/>
    </row>
    <row r="954" spans="1:8" ht="15.75">
      <c r="A954" s="243">
        <v>4</v>
      </c>
      <c r="B954" s="251">
        <f t="shared" si="89"/>
        <v>42192</v>
      </c>
      <c r="C954" s="228" t="s">
        <v>195</v>
      </c>
      <c r="D954" s="229" t="s">
        <v>57</v>
      </c>
      <c r="E954" s="244" t="s">
        <v>79</v>
      </c>
      <c r="F954" s="236">
        <v>200000</v>
      </c>
      <c r="G954" s="237" t="s">
        <v>212</v>
      </c>
    </row>
    <row r="955" spans="1:8" ht="15.75">
      <c r="A955" s="243">
        <v>5</v>
      </c>
      <c r="B955" s="251">
        <f t="shared" si="89"/>
        <v>42192</v>
      </c>
      <c r="C955" s="228" t="s">
        <v>195</v>
      </c>
      <c r="D955" s="229" t="s">
        <v>57</v>
      </c>
      <c r="E955" s="244" t="s">
        <v>87</v>
      </c>
      <c r="F955" s="236">
        <v>70000</v>
      </c>
      <c r="G955" s="237" t="s">
        <v>212</v>
      </c>
    </row>
    <row r="956" spans="1:8" ht="15.75">
      <c r="A956" s="243">
        <v>6</v>
      </c>
      <c r="B956" s="251">
        <f t="shared" si="89"/>
        <v>42192</v>
      </c>
      <c r="C956" s="228" t="s">
        <v>195</v>
      </c>
      <c r="D956" s="229" t="s">
        <v>3</v>
      </c>
      <c r="E956" s="244" t="s">
        <v>76</v>
      </c>
      <c r="F956" s="236">
        <v>300000</v>
      </c>
      <c r="G956" s="237" t="s">
        <v>212</v>
      </c>
    </row>
    <row r="957" spans="1:8" ht="15.75">
      <c r="A957" s="243">
        <v>7</v>
      </c>
      <c r="B957" s="251">
        <f t="shared" si="89"/>
        <v>42192</v>
      </c>
      <c r="C957" s="228" t="s">
        <v>195</v>
      </c>
      <c r="D957" s="229" t="s">
        <v>2</v>
      </c>
      <c r="E957" s="244" t="s">
        <v>357</v>
      </c>
      <c r="F957" s="236">
        <v>6345000</v>
      </c>
      <c r="G957" s="237" t="s">
        <v>212</v>
      </c>
    </row>
    <row r="958" spans="1:8" ht="15.75">
      <c r="A958" s="243">
        <v>8</v>
      </c>
      <c r="B958" s="251">
        <f t="shared" si="89"/>
        <v>42192</v>
      </c>
      <c r="C958" s="228" t="s">
        <v>195</v>
      </c>
      <c r="D958" s="229" t="s">
        <v>57</v>
      </c>
      <c r="E958" s="244" t="s">
        <v>186</v>
      </c>
      <c r="F958" s="236">
        <v>150000</v>
      </c>
      <c r="G958" s="237" t="s">
        <v>212</v>
      </c>
    </row>
    <row r="959" spans="1:8" ht="15.75">
      <c r="A959" s="243">
        <v>9</v>
      </c>
      <c r="B959" s="251">
        <f>B958</f>
        <v>42192</v>
      </c>
      <c r="C959" s="228" t="s">
        <v>195</v>
      </c>
      <c r="D959" s="229" t="s">
        <v>57</v>
      </c>
      <c r="E959" s="244" t="s">
        <v>313</v>
      </c>
      <c r="F959" s="236">
        <v>200000</v>
      </c>
      <c r="G959" s="237" t="s">
        <v>212</v>
      </c>
    </row>
    <row r="960" spans="1:8" ht="15.75">
      <c r="A960" s="243">
        <v>1</v>
      </c>
      <c r="B960" s="251">
        <f>B959+1</f>
        <v>42193</v>
      </c>
      <c r="C960" s="228" t="s">
        <v>195</v>
      </c>
      <c r="D960" s="229"/>
      <c r="E960" s="239" t="s">
        <v>211</v>
      </c>
      <c r="F960" s="236"/>
      <c r="G960" s="237" t="s">
        <v>212</v>
      </c>
    </row>
    <row r="961" spans="1:8" ht="15.75">
      <c r="A961" s="243">
        <v>2</v>
      </c>
      <c r="B961" s="251">
        <f>B960</f>
        <v>42193</v>
      </c>
      <c r="C961" s="228" t="s">
        <v>195</v>
      </c>
      <c r="D961" s="229" t="s">
        <v>2</v>
      </c>
      <c r="E961" s="244" t="s">
        <v>170</v>
      </c>
      <c r="F961" s="236">
        <v>1170000</v>
      </c>
      <c r="G961" s="237" t="s">
        <v>212</v>
      </c>
      <c r="H961" s="226"/>
    </row>
    <row r="962" spans="1:8" ht="15.75">
      <c r="A962" s="243">
        <v>3</v>
      </c>
      <c r="B962" s="251">
        <f t="shared" ref="B962:B967" si="90">B961</f>
        <v>42193</v>
      </c>
      <c r="C962" s="228" t="s">
        <v>195</v>
      </c>
      <c r="D962" s="229" t="s">
        <v>2</v>
      </c>
      <c r="E962" s="244" t="s">
        <v>81</v>
      </c>
      <c r="F962" s="236">
        <v>207000</v>
      </c>
      <c r="G962" s="237" t="s">
        <v>212</v>
      </c>
      <c r="H962" s="226"/>
    </row>
    <row r="963" spans="1:8" ht="15.75">
      <c r="A963" s="243">
        <v>4</v>
      </c>
      <c r="B963" s="251">
        <f t="shared" si="90"/>
        <v>42193</v>
      </c>
      <c r="C963" s="228" t="s">
        <v>195</v>
      </c>
      <c r="D963" s="229" t="s">
        <v>57</v>
      </c>
      <c r="E963" s="244" t="s">
        <v>79</v>
      </c>
      <c r="F963" s="236">
        <v>200000</v>
      </c>
      <c r="G963" s="237" t="s">
        <v>212</v>
      </c>
    </row>
    <row r="964" spans="1:8" ht="15.75">
      <c r="A964" s="243">
        <v>5</v>
      </c>
      <c r="B964" s="251">
        <f t="shared" si="90"/>
        <v>42193</v>
      </c>
      <c r="C964" s="228" t="s">
        <v>195</v>
      </c>
      <c r="D964" s="229" t="s">
        <v>57</v>
      </c>
      <c r="E964" s="244" t="s">
        <v>87</v>
      </c>
      <c r="F964" s="236">
        <v>70000</v>
      </c>
      <c r="G964" s="237" t="s">
        <v>212</v>
      </c>
    </row>
    <row r="965" spans="1:8" ht="15.75">
      <c r="A965" s="243">
        <v>6</v>
      </c>
      <c r="B965" s="251">
        <f t="shared" si="90"/>
        <v>42193</v>
      </c>
      <c r="C965" s="228" t="s">
        <v>195</v>
      </c>
      <c r="D965" s="229" t="s">
        <v>3</v>
      </c>
      <c r="E965" s="244" t="s">
        <v>76</v>
      </c>
      <c r="F965" s="236">
        <v>300000</v>
      </c>
      <c r="G965" s="237" t="s">
        <v>212</v>
      </c>
    </row>
    <row r="966" spans="1:8" ht="15.75">
      <c r="A966" s="243">
        <v>7</v>
      </c>
      <c r="B966" s="251">
        <f t="shared" si="90"/>
        <v>42193</v>
      </c>
      <c r="C966" s="228" t="s">
        <v>195</v>
      </c>
      <c r="D966" s="229" t="s">
        <v>2</v>
      </c>
      <c r="E966" s="244" t="s">
        <v>357</v>
      </c>
      <c r="F966" s="236">
        <v>6345000</v>
      </c>
      <c r="G966" s="237" t="s">
        <v>212</v>
      </c>
    </row>
    <row r="967" spans="1:8" ht="15.75">
      <c r="A967" s="243">
        <v>8</v>
      </c>
      <c r="B967" s="251">
        <f t="shared" si="90"/>
        <v>42193</v>
      </c>
      <c r="C967" s="228" t="s">
        <v>195</v>
      </c>
      <c r="D967" s="229" t="s">
        <v>57</v>
      </c>
      <c r="E967" s="244" t="s">
        <v>186</v>
      </c>
      <c r="F967" s="236">
        <v>150000</v>
      </c>
      <c r="G967" s="237" t="s">
        <v>212</v>
      </c>
    </row>
    <row r="968" spans="1:8" ht="15.75">
      <c r="A968" s="243">
        <v>9</v>
      </c>
      <c r="B968" s="251">
        <f>B967</f>
        <v>42193</v>
      </c>
      <c r="C968" s="228" t="s">
        <v>195</v>
      </c>
      <c r="D968" s="229" t="s">
        <v>57</v>
      </c>
      <c r="E968" s="244" t="s">
        <v>313</v>
      </c>
      <c r="F968" s="236">
        <v>200000</v>
      </c>
      <c r="G968" s="237" t="s">
        <v>212</v>
      </c>
    </row>
    <row r="969" spans="1:8" ht="15.75">
      <c r="A969" s="243">
        <v>1</v>
      </c>
      <c r="B969" s="251">
        <f>B968+1</f>
        <v>42194</v>
      </c>
      <c r="C969" s="228" t="s">
        <v>195</v>
      </c>
      <c r="D969" s="229"/>
      <c r="E969" s="239" t="s">
        <v>211</v>
      </c>
      <c r="F969" s="236"/>
      <c r="G969" s="237" t="s">
        <v>212</v>
      </c>
    </row>
    <row r="970" spans="1:8" ht="15.75">
      <c r="A970" s="243">
        <v>2</v>
      </c>
      <c r="B970" s="251">
        <f>B969</f>
        <v>42194</v>
      </c>
      <c r="C970" s="228" t="s">
        <v>195</v>
      </c>
      <c r="D970" s="229" t="s">
        <v>2</v>
      </c>
      <c r="E970" s="244" t="s">
        <v>170</v>
      </c>
      <c r="F970" s="236">
        <v>1170000</v>
      </c>
      <c r="G970" s="237" t="s">
        <v>212</v>
      </c>
      <c r="H970" s="226"/>
    </row>
    <row r="971" spans="1:8" ht="15.75">
      <c r="A971" s="243">
        <v>3</v>
      </c>
      <c r="B971" s="251">
        <f t="shared" ref="B971:B976" si="91">B970</f>
        <v>42194</v>
      </c>
      <c r="C971" s="228" t="s">
        <v>195</v>
      </c>
      <c r="D971" s="229" t="s">
        <v>2</v>
      </c>
      <c r="E971" s="244" t="s">
        <v>81</v>
      </c>
      <c r="F971" s="236">
        <v>207000</v>
      </c>
      <c r="G971" s="237" t="s">
        <v>212</v>
      </c>
      <c r="H971" s="226"/>
    </row>
    <row r="972" spans="1:8" ht="15.75">
      <c r="A972" s="243">
        <v>4</v>
      </c>
      <c r="B972" s="251">
        <f t="shared" si="91"/>
        <v>42194</v>
      </c>
      <c r="C972" s="228" t="s">
        <v>195</v>
      </c>
      <c r="D972" s="229" t="s">
        <v>57</v>
      </c>
      <c r="E972" s="244" t="s">
        <v>79</v>
      </c>
      <c r="F972" s="236">
        <v>200000</v>
      </c>
      <c r="G972" s="237" t="s">
        <v>212</v>
      </c>
    </row>
    <row r="973" spans="1:8" ht="15.75">
      <c r="A973" s="243">
        <v>5</v>
      </c>
      <c r="B973" s="251">
        <f t="shared" si="91"/>
        <v>42194</v>
      </c>
      <c r="C973" s="228" t="s">
        <v>195</v>
      </c>
      <c r="D973" s="229" t="s">
        <v>57</v>
      </c>
      <c r="E973" s="244" t="s">
        <v>87</v>
      </c>
      <c r="F973" s="236">
        <v>70000</v>
      </c>
      <c r="G973" s="237" t="s">
        <v>212</v>
      </c>
    </row>
    <row r="974" spans="1:8" ht="15.75">
      <c r="A974" s="243">
        <v>6</v>
      </c>
      <c r="B974" s="251">
        <f t="shared" si="91"/>
        <v>42194</v>
      </c>
      <c r="C974" s="228" t="s">
        <v>195</v>
      </c>
      <c r="D974" s="229" t="s">
        <v>3</v>
      </c>
      <c r="E974" s="244" t="s">
        <v>76</v>
      </c>
      <c r="F974" s="236">
        <v>300000</v>
      </c>
      <c r="G974" s="237" t="s">
        <v>212</v>
      </c>
    </row>
    <row r="975" spans="1:8" ht="15.75">
      <c r="A975" s="243">
        <v>7</v>
      </c>
      <c r="B975" s="251">
        <f t="shared" si="91"/>
        <v>42194</v>
      </c>
      <c r="C975" s="228" t="s">
        <v>195</v>
      </c>
      <c r="D975" s="229" t="s">
        <v>2</v>
      </c>
      <c r="E975" s="244" t="s">
        <v>357</v>
      </c>
      <c r="F975" s="236">
        <v>6345000</v>
      </c>
      <c r="G975" s="237" t="s">
        <v>212</v>
      </c>
    </row>
    <row r="976" spans="1:8" ht="15.75">
      <c r="A976" s="243">
        <v>8</v>
      </c>
      <c r="B976" s="251">
        <f t="shared" si="91"/>
        <v>42194</v>
      </c>
      <c r="C976" s="228" t="s">
        <v>195</v>
      </c>
      <c r="D976" s="229" t="s">
        <v>57</v>
      </c>
      <c r="E976" s="244" t="s">
        <v>186</v>
      </c>
      <c r="F976" s="236">
        <v>150000</v>
      </c>
      <c r="G976" s="237" t="s">
        <v>212</v>
      </c>
    </row>
    <row r="977" spans="1:8" ht="15.75">
      <c r="A977" s="243">
        <v>9</v>
      </c>
      <c r="B977" s="251">
        <f>B976</f>
        <v>42194</v>
      </c>
      <c r="C977" s="228" t="s">
        <v>195</v>
      </c>
      <c r="D977" s="229" t="s">
        <v>57</v>
      </c>
      <c r="E977" s="244" t="s">
        <v>313</v>
      </c>
      <c r="F977" s="236">
        <v>200000</v>
      </c>
      <c r="G977" s="237" t="s">
        <v>212</v>
      </c>
    </row>
    <row r="978" spans="1:8" ht="15.75">
      <c r="A978" s="243">
        <v>1</v>
      </c>
      <c r="B978" s="251">
        <f>B977+1</f>
        <v>42195</v>
      </c>
      <c r="C978" s="228" t="s">
        <v>195</v>
      </c>
      <c r="D978" s="229"/>
      <c r="E978" s="239" t="s">
        <v>211</v>
      </c>
      <c r="F978" s="236"/>
      <c r="G978" s="237" t="s">
        <v>212</v>
      </c>
    </row>
    <row r="979" spans="1:8" ht="15.75">
      <c r="A979" s="243">
        <v>2</v>
      </c>
      <c r="B979" s="251">
        <f>B978</f>
        <v>42195</v>
      </c>
      <c r="C979" s="228" t="s">
        <v>195</v>
      </c>
      <c r="D979" s="229" t="s">
        <v>2</v>
      </c>
      <c r="E979" s="244" t="s">
        <v>170</v>
      </c>
      <c r="F979" s="236">
        <v>1170000</v>
      </c>
      <c r="G979" s="237" t="s">
        <v>212</v>
      </c>
      <c r="H979" s="226"/>
    </row>
    <row r="980" spans="1:8" ht="15.75">
      <c r="A980" s="243">
        <v>3</v>
      </c>
      <c r="B980" s="251">
        <f t="shared" ref="B980:B985" si="92">B979</f>
        <v>42195</v>
      </c>
      <c r="C980" s="228" t="s">
        <v>195</v>
      </c>
      <c r="D980" s="229" t="s">
        <v>2</v>
      </c>
      <c r="E980" s="244" t="s">
        <v>81</v>
      </c>
      <c r="F980" s="236">
        <v>207000</v>
      </c>
      <c r="G980" s="237" t="s">
        <v>212</v>
      </c>
      <c r="H980" s="226"/>
    </row>
    <row r="981" spans="1:8" ht="15.75">
      <c r="A981" s="243">
        <v>4</v>
      </c>
      <c r="B981" s="251">
        <f t="shared" si="92"/>
        <v>42195</v>
      </c>
      <c r="C981" s="228" t="s">
        <v>195</v>
      </c>
      <c r="D981" s="229" t="s">
        <v>57</v>
      </c>
      <c r="E981" s="244" t="s">
        <v>79</v>
      </c>
      <c r="F981" s="236">
        <v>200000</v>
      </c>
      <c r="G981" s="237" t="s">
        <v>212</v>
      </c>
    </row>
    <row r="982" spans="1:8" ht="15.75">
      <c r="A982" s="243">
        <v>5</v>
      </c>
      <c r="B982" s="251">
        <f t="shared" si="92"/>
        <v>42195</v>
      </c>
      <c r="C982" s="228" t="s">
        <v>195</v>
      </c>
      <c r="D982" s="229" t="s">
        <v>57</v>
      </c>
      <c r="E982" s="244" t="s">
        <v>87</v>
      </c>
      <c r="F982" s="236">
        <v>70000</v>
      </c>
      <c r="G982" s="237" t="s">
        <v>212</v>
      </c>
    </row>
    <row r="983" spans="1:8" ht="15.75">
      <c r="A983" s="243">
        <v>6</v>
      </c>
      <c r="B983" s="251">
        <f t="shared" si="92"/>
        <v>42195</v>
      </c>
      <c r="C983" s="228" t="s">
        <v>195</v>
      </c>
      <c r="D983" s="229" t="s">
        <v>3</v>
      </c>
      <c r="E983" s="244" t="s">
        <v>76</v>
      </c>
      <c r="F983" s="236">
        <v>300000</v>
      </c>
      <c r="G983" s="237" t="s">
        <v>212</v>
      </c>
    </row>
    <row r="984" spans="1:8" ht="15.75">
      <c r="A984" s="243">
        <v>7</v>
      </c>
      <c r="B984" s="251">
        <f t="shared" si="92"/>
        <v>42195</v>
      </c>
      <c r="C984" s="228" t="s">
        <v>195</v>
      </c>
      <c r="D984" s="229" t="s">
        <v>2</v>
      </c>
      <c r="E984" s="244" t="s">
        <v>357</v>
      </c>
      <c r="F984" s="236">
        <v>6345000</v>
      </c>
      <c r="G984" s="237" t="s">
        <v>212</v>
      </c>
    </row>
    <row r="985" spans="1:8" ht="15.75">
      <c r="A985" s="243">
        <v>8</v>
      </c>
      <c r="B985" s="251">
        <f t="shared" si="92"/>
        <v>42195</v>
      </c>
      <c r="C985" s="228" t="s">
        <v>195</v>
      </c>
      <c r="D985" s="229" t="s">
        <v>57</v>
      </c>
      <c r="E985" s="244" t="s">
        <v>186</v>
      </c>
      <c r="F985" s="236">
        <v>150000</v>
      </c>
      <c r="G985" s="237" t="s">
        <v>212</v>
      </c>
    </row>
    <row r="986" spans="1:8" ht="15.75">
      <c r="A986" s="243">
        <v>9</v>
      </c>
      <c r="B986" s="251">
        <f>B985</f>
        <v>42195</v>
      </c>
      <c r="C986" s="228" t="s">
        <v>195</v>
      </c>
      <c r="D986" s="229" t="s">
        <v>57</v>
      </c>
      <c r="E986" s="244" t="s">
        <v>313</v>
      </c>
      <c r="F986" s="236">
        <v>200000</v>
      </c>
      <c r="G986" s="237" t="s">
        <v>212</v>
      </c>
    </row>
    <row r="987" spans="1:8" ht="15.75">
      <c r="A987" s="243">
        <v>1</v>
      </c>
      <c r="B987" s="251">
        <f>B986+1</f>
        <v>42196</v>
      </c>
      <c r="C987" s="228" t="s">
        <v>195</v>
      </c>
      <c r="D987" s="229"/>
      <c r="E987" s="239" t="s">
        <v>211</v>
      </c>
      <c r="F987" s="236"/>
      <c r="G987" s="237" t="s">
        <v>212</v>
      </c>
    </row>
    <row r="988" spans="1:8" ht="15.75">
      <c r="A988" s="243">
        <v>2</v>
      </c>
      <c r="B988" s="251">
        <f>B987</f>
        <v>42196</v>
      </c>
      <c r="C988" s="228" t="s">
        <v>195</v>
      </c>
      <c r="D988" s="229" t="s">
        <v>2</v>
      </c>
      <c r="E988" s="244" t="s">
        <v>170</v>
      </c>
      <c r="F988" s="236">
        <v>1170000</v>
      </c>
      <c r="G988" s="237" t="s">
        <v>212</v>
      </c>
      <c r="H988" s="226"/>
    </row>
    <row r="989" spans="1:8" ht="15.75">
      <c r="A989" s="243">
        <v>3</v>
      </c>
      <c r="B989" s="251">
        <f t="shared" ref="B989:B994" si="93">B988</f>
        <v>42196</v>
      </c>
      <c r="C989" s="228" t="s">
        <v>195</v>
      </c>
      <c r="D989" s="229" t="s">
        <v>2</v>
      </c>
      <c r="E989" s="244" t="s">
        <v>81</v>
      </c>
      <c r="F989" s="236">
        <v>207000</v>
      </c>
      <c r="G989" s="237" t="s">
        <v>212</v>
      </c>
      <c r="H989" s="226"/>
    </row>
    <row r="990" spans="1:8" ht="15.75">
      <c r="A990" s="243">
        <v>4</v>
      </c>
      <c r="B990" s="251">
        <f t="shared" si="93"/>
        <v>42196</v>
      </c>
      <c r="C990" s="228" t="s">
        <v>195</v>
      </c>
      <c r="D990" s="229" t="s">
        <v>57</v>
      </c>
      <c r="E990" s="244" t="s">
        <v>79</v>
      </c>
      <c r="F990" s="236">
        <v>200000</v>
      </c>
      <c r="G990" s="237" t="s">
        <v>212</v>
      </c>
    </row>
    <row r="991" spans="1:8" ht="15.75">
      <c r="A991" s="243">
        <v>5</v>
      </c>
      <c r="B991" s="251">
        <f t="shared" si="93"/>
        <v>42196</v>
      </c>
      <c r="C991" s="228" t="s">
        <v>195</v>
      </c>
      <c r="D991" s="229" t="s">
        <v>57</v>
      </c>
      <c r="E991" s="244" t="s">
        <v>87</v>
      </c>
      <c r="F991" s="236">
        <v>70000</v>
      </c>
      <c r="G991" s="237" t="s">
        <v>212</v>
      </c>
    </row>
    <row r="992" spans="1:8" ht="15.75">
      <c r="A992" s="243">
        <v>6</v>
      </c>
      <c r="B992" s="251">
        <f t="shared" si="93"/>
        <v>42196</v>
      </c>
      <c r="C992" s="228" t="s">
        <v>195</v>
      </c>
      <c r="D992" s="229" t="s">
        <v>3</v>
      </c>
      <c r="E992" s="244" t="s">
        <v>76</v>
      </c>
      <c r="F992" s="236">
        <v>300000</v>
      </c>
      <c r="G992" s="237" t="s">
        <v>212</v>
      </c>
    </row>
    <row r="993" spans="1:9" ht="15.75">
      <c r="A993" s="243">
        <v>7</v>
      </c>
      <c r="B993" s="251">
        <f t="shared" si="93"/>
        <v>42196</v>
      </c>
      <c r="C993" s="228" t="s">
        <v>195</v>
      </c>
      <c r="D993" s="229" t="s">
        <v>2</v>
      </c>
      <c r="E993" s="244" t="s">
        <v>357</v>
      </c>
      <c r="F993" s="236">
        <v>6345000</v>
      </c>
      <c r="G993" s="237" t="s">
        <v>212</v>
      </c>
    </row>
    <row r="994" spans="1:9" ht="15.75">
      <c r="A994" s="243">
        <v>8</v>
      </c>
      <c r="B994" s="251">
        <f t="shared" si="93"/>
        <v>42196</v>
      </c>
      <c r="C994" s="228" t="s">
        <v>195</v>
      </c>
      <c r="D994" s="229" t="s">
        <v>57</v>
      </c>
      <c r="E994" s="244" t="s">
        <v>186</v>
      </c>
      <c r="F994" s="236">
        <v>150000</v>
      </c>
      <c r="G994" s="237" t="s">
        <v>212</v>
      </c>
    </row>
    <row r="995" spans="1:9" ht="15.75">
      <c r="A995" s="243">
        <v>9</v>
      </c>
      <c r="B995" s="251">
        <f>B994</f>
        <v>42196</v>
      </c>
      <c r="C995" s="228" t="s">
        <v>195</v>
      </c>
      <c r="D995" s="229" t="s">
        <v>57</v>
      </c>
      <c r="E995" s="244" t="s">
        <v>313</v>
      </c>
      <c r="F995" s="236">
        <v>200000</v>
      </c>
      <c r="G995" s="237" t="s">
        <v>212</v>
      </c>
    </row>
    <row r="996" spans="1:9" ht="15.75">
      <c r="A996" s="243">
        <v>1</v>
      </c>
      <c r="B996" s="251">
        <f>B995+1</f>
        <v>42197</v>
      </c>
      <c r="C996" s="228" t="s">
        <v>195</v>
      </c>
      <c r="D996" s="229"/>
      <c r="E996" s="239" t="s">
        <v>211</v>
      </c>
      <c r="F996" s="236"/>
      <c r="G996" s="237" t="s">
        <v>212</v>
      </c>
    </row>
    <row r="997" spans="1:9" ht="15.75">
      <c r="A997" s="243">
        <v>2</v>
      </c>
      <c r="B997" s="251">
        <f>B996</f>
        <v>42197</v>
      </c>
      <c r="C997" s="228" t="s">
        <v>195</v>
      </c>
      <c r="D997" s="229" t="s">
        <v>2</v>
      </c>
      <c r="E997" s="244" t="s">
        <v>170</v>
      </c>
      <c r="F997" s="236">
        <v>1170000</v>
      </c>
      <c r="G997" s="237" t="s">
        <v>212</v>
      </c>
      <c r="H997" s="226"/>
    </row>
    <row r="998" spans="1:9" ht="15.75">
      <c r="A998" s="243">
        <v>3</v>
      </c>
      <c r="B998" s="251">
        <f t="shared" ref="B998:B1003" si="94">B997</f>
        <v>42197</v>
      </c>
      <c r="C998" s="228" t="s">
        <v>195</v>
      </c>
      <c r="D998" s="229" t="s">
        <v>2</v>
      </c>
      <c r="E998" s="244" t="s">
        <v>81</v>
      </c>
      <c r="F998" s="236">
        <v>207000</v>
      </c>
      <c r="G998" s="237" t="s">
        <v>212</v>
      </c>
      <c r="H998" s="226"/>
    </row>
    <row r="999" spans="1:9" ht="15.75">
      <c r="A999" s="243">
        <v>4</v>
      </c>
      <c r="B999" s="251">
        <f t="shared" si="94"/>
        <v>42197</v>
      </c>
      <c r="C999" s="228" t="s">
        <v>195</v>
      </c>
      <c r="D999" s="229" t="s">
        <v>57</v>
      </c>
      <c r="E999" s="244" t="s">
        <v>79</v>
      </c>
      <c r="F999" s="236">
        <v>200000</v>
      </c>
      <c r="G999" s="237" t="s">
        <v>212</v>
      </c>
    </row>
    <row r="1000" spans="1:9" ht="15.75">
      <c r="A1000" s="243">
        <v>5</v>
      </c>
      <c r="B1000" s="251">
        <f t="shared" si="94"/>
        <v>42197</v>
      </c>
      <c r="C1000" s="228" t="s">
        <v>195</v>
      </c>
      <c r="D1000" s="229" t="s">
        <v>57</v>
      </c>
      <c r="E1000" s="244" t="s">
        <v>87</v>
      </c>
      <c r="F1000" s="236">
        <v>70000</v>
      </c>
      <c r="G1000" s="237" t="s">
        <v>212</v>
      </c>
    </row>
    <row r="1001" spans="1:9" ht="15.75">
      <c r="A1001" s="243">
        <v>6</v>
      </c>
      <c r="B1001" s="251">
        <f t="shared" si="94"/>
        <v>42197</v>
      </c>
      <c r="C1001" s="228" t="s">
        <v>195</v>
      </c>
      <c r="D1001" s="229" t="s">
        <v>3</v>
      </c>
      <c r="E1001" s="244" t="s">
        <v>76</v>
      </c>
      <c r="F1001" s="236">
        <v>300000</v>
      </c>
      <c r="G1001" s="237" t="s">
        <v>212</v>
      </c>
    </row>
    <row r="1002" spans="1:9" ht="15.75">
      <c r="A1002" s="243">
        <v>7</v>
      </c>
      <c r="B1002" s="251">
        <f t="shared" si="94"/>
        <v>42197</v>
      </c>
      <c r="C1002" s="228" t="s">
        <v>195</v>
      </c>
      <c r="D1002" s="229" t="s">
        <v>2</v>
      </c>
      <c r="E1002" s="244" t="s">
        <v>357</v>
      </c>
      <c r="F1002" s="236">
        <v>6345000</v>
      </c>
      <c r="G1002" s="237" t="s">
        <v>212</v>
      </c>
    </row>
    <row r="1003" spans="1:9" ht="15.75">
      <c r="A1003" s="243">
        <v>8</v>
      </c>
      <c r="B1003" s="251">
        <f t="shared" si="94"/>
        <v>42197</v>
      </c>
      <c r="C1003" s="228" t="s">
        <v>195</v>
      </c>
      <c r="D1003" s="229" t="s">
        <v>57</v>
      </c>
      <c r="E1003" s="244" t="s">
        <v>186</v>
      </c>
      <c r="F1003" s="236">
        <v>150000</v>
      </c>
      <c r="G1003" s="237" t="s">
        <v>212</v>
      </c>
    </row>
    <row r="1004" spans="1:9" ht="15.75">
      <c r="A1004" s="243">
        <v>9</v>
      </c>
      <c r="B1004" s="251">
        <f>B1003</f>
        <v>42197</v>
      </c>
      <c r="C1004" s="228" t="s">
        <v>195</v>
      </c>
      <c r="D1004" s="229" t="s">
        <v>57</v>
      </c>
      <c r="E1004" s="244" t="s">
        <v>313</v>
      </c>
      <c r="F1004" s="236">
        <v>200000</v>
      </c>
      <c r="G1004" s="237" t="s">
        <v>212</v>
      </c>
    </row>
    <row r="1005" spans="1:9" ht="15.75">
      <c r="A1005" s="243">
        <f t="shared" ref="A1005" si="95">A1004+1</f>
        <v>10</v>
      </c>
      <c r="B1005" s="251">
        <f>B1004</f>
        <v>42197</v>
      </c>
      <c r="C1005" s="228" t="s">
        <v>195</v>
      </c>
      <c r="D1005" s="229" t="s">
        <v>57</v>
      </c>
      <c r="E1005" s="230" t="s">
        <v>226</v>
      </c>
      <c r="F1005" s="236">
        <f>5*35000*7</f>
        <v>1225000</v>
      </c>
      <c r="G1005" s="237" t="s">
        <v>225</v>
      </c>
      <c r="H1005" s="227">
        <v>7</v>
      </c>
    </row>
    <row r="1006" spans="1:9" ht="15.75">
      <c r="A1006" s="243"/>
      <c r="B1006" s="251"/>
      <c r="C1006" s="228"/>
      <c r="D1006" s="229"/>
      <c r="E1006" s="244"/>
      <c r="F1006" s="236"/>
      <c r="G1006" s="237"/>
    </row>
    <row r="1007" spans="1:9" s="277" customFormat="1" ht="15">
      <c r="A1007" s="271"/>
      <c r="B1007" s="272" t="s">
        <v>189</v>
      </c>
      <c r="C1007" s="272">
        <f>B1004+1</f>
        <v>42198</v>
      </c>
      <c r="D1007" s="272">
        <f>C1007+13</f>
        <v>42211</v>
      </c>
      <c r="E1007" s="273" t="s">
        <v>217</v>
      </c>
      <c r="F1007" s="274"/>
      <c r="G1007" s="275"/>
      <c r="H1007" s="276"/>
      <c r="I1007" s="269"/>
    </row>
    <row r="1008" spans="1:9" s="269" customFormat="1" ht="15">
      <c r="A1008" s="262"/>
      <c r="B1008" s="263" t="s">
        <v>189</v>
      </c>
      <c r="C1008" s="264">
        <v>42212</v>
      </c>
      <c r="D1008" s="264">
        <f>C1008+13</f>
        <v>42225</v>
      </c>
      <c r="E1008" s="265"/>
      <c r="F1008" s="266">
        <f>SUM(F1009:F1135)</f>
        <v>123438000</v>
      </c>
      <c r="G1008" s="267" t="s">
        <v>251</v>
      </c>
      <c r="H1008" s="268"/>
      <c r="I1008" s="227"/>
    </row>
    <row r="1009" spans="1:8" ht="15.75">
      <c r="A1009" s="243">
        <v>1</v>
      </c>
      <c r="B1009" s="251">
        <f>C1008</f>
        <v>42212</v>
      </c>
      <c r="C1009" s="228" t="s">
        <v>195</v>
      </c>
      <c r="D1009" s="229"/>
      <c r="E1009" s="239" t="s">
        <v>211</v>
      </c>
      <c r="F1009" s="236"/>
      <c r="G1009" s="237" t="s">
        <v>212</v>
      </c>
      <c r="H1009" s="233"/>
    </row>
    <row r="1010" spans="1:8" ht="15.75">
      <c r="A1010" s="243">
        <v>2</v>
      </c>
      <c r="B1010" s="251">
        <f>B1009</f>
        <v>42212</v>
      </c>
      <c r="C1010" s="228" t="s">
        <v>195</v>
      </c>
      <c r="D1010" s="229" t="s">
        <v>2</v>
      </c>
      <c r="E1010" s="244" t="s">
        <v>170</v>
      </c>
      <c r="F1010" s="236">
        <v>1170000</v>
      </c>
      <c r="G1010" s="237" t="s">
        <v>212</v>
      </c>
      <c r="H1010" s="226"/>
    </row>
    <row r="1011" spans="1:8" ht="15.75">
      <c r="A1011" s="243">
        <v>3</v>
      </c>
      <c r="B1011" s="251">
        <f t="shared" ref="B1011:B1016" si="96">B1010</f>
        <v>42212</v>
      </c>
      <c r="C1011" s="228" t="s">
        <v>195</v>
      </c>
      <c r="D1011" s="229" t="s">
        <v>2</v>
      </c>
      <c r="E1011" s="244" t="s">
        <v>81</v>
      </c>
      <c r="F1011" s="236">
        <v>207000</v>
      </c>
      <c r="G1011" s="237" t="s">
        <v>212</v>
      </c>
      <c r="H1011" s="226"/>
    </row>
    <row r="1012" spans="1:8" ht="15.75">
      <c r="A1012" s="243">
        <v>4</v>
      </c>
      <c r="B1012" s="251">
        <f t="shared" si="96"/>
        <v>42212</v>
      </c>
      <c r="C1012" s="228" t="s">
        <v>195</v>
      </c>
      <c r="D1012" s="229" t="s">
        <v>57</v>
      </c>
      <c r="E1012" s="244" t="s">
        <v>79</v>
      </c>
      <c r="F1012" s="236">
        <v>200000</v>
      </c>
      <c r="G1012" s="237" t="s">
        <v>212</v>
      </c>
    </row>
    <row r="1013" spans="1:8" ht="15.75">
      <c r="A1013" s="243">
        <v>5</v>
      </c>
      <c r="B1013" s="251">
        <f t="shared" si="96"/>
        <v>42212</v>
      </c>
      <c r="C1013" s="228" t="s">
        <v>195</v>
      </c>
      <c r="D1013" s="229" t="s">
        <v>57</v>
      </c>
      <c r="E1013" s="244" t="s">
        <v>87</v>
      </c>
      <c r="F1013" s="236">
        <v>70000</v>
      </c>
      <c r="G1013" s="237" t="s">
        <v>212</v>
      </c>
    </row>
    <row r="1014" spans="1:8" ht="15.75">
      <c r="A1014" s="243">
        <v>6</v>
      </c>
      <c r="B1014" s="251">
        <f t="shared" si="96"/>
        <v>42212</v>
      </c>
      <c r="C1014" s="228" t="s">
        <v>195</v>
      </c>
      <c r="D1014" s="229" t="s">
        <v>3</v>
      </c>
      <c r="E1014" s="244" t="s">
        <v>76</v>
      </c>
      <c r="F1014" s="236">
        <v>300000</v>
      </c>
      <c r="G1014" s="237" t="s">
        <v>212</v>
      </c>
    </row>
    <row r="1015" spans="1:8" ht="15.75">
      <c r="A1015" s="243">
        <v>7</v>
      </c>
      <c r="B1015" s="251">
        <f t="shared" si="96"/>
        <v>42212</v>
      </c>
      <c r="C1015" s="228" t="s">
        <v>195</v>
      </c>
      <c r="D1015" s="229" t="s">
        <v>2</v>
      </c>
      <c r="E1015" s="244" t="s">
        <v>357</v>
      </c>
      <c r="F1015" s="236">
        <v>6345000</v>
      </c>
      <c r="G1015" s="237" t="s">
        <v>212</v>
      </c>
    </row>
    <row r="1016" spans="1:8" ht="15.75">
      <c r="A1016" s="243">
        <v>8</v>
      </c>
      <c r="B1016" s="251">
        <f t="shared" si="96"/>
        <v>42212</v>
      </c>
      <c r="C1016" s="228" t="s">
        <v>195</v>
      </c>
      <c r="D1016" s="229" t="s">
        <v>57</v>
      </c>
      <c r="E1016" s="244" t="s">
        <v>186</v>
      </c>
      <c r="F1016" s="236">
        <v>150000</v>
      </c>
      <c r="G1016" s="237" t="s">
        <v>212</v>
      </c>
    </row>
    <row r="1017" spans="1:8" ht="15.75">
      <c r="A1017" s="243">
        <v>9</v>
      </c>
      <c r="B1017" s="251">
        <f>B1016</f>
        <v>42212</v>
      </c>
      <c r="C1017" s="228" t="s">
        <v>195</v>
      </c>
      <c r="D1017" s="229" t="s">
        <v>57</v>
      </c>
      <c r="E1017" s="244" t="s">
        <v>313</v>
      </c>
      <c r="F1017" s="236">
        <v>200000</v>
      </c>
      <c r="G1017" s="237" t="s">
        <v>212</v>
      </c>
    </row>
    <row r="1018" spans="1:8" ht="15.75">
      <c r="A1018" s="243">
        <v>10</v>
      </c>
      <c r="B1018" s="251">
        <f>B1017+1</f>
        <v>42213</v>
      </c>
      <c r="C1018" s="228" t="s">
        <v>195</v>
      </c>
      <c r="D1018" s="229"/>
      <c r="E1018" s="239" t="s">
        <v>211</v>
      </c>
      <c r="F1018" s="236"/>
      <c r="G1018" s="237" t="s">
        <v>212</v>
      </c>
    </row>
    <row r="1019" spans="1:8" ht="15.75">
      <c r="A1019" s="243">
        <v>11</v>
      </c>
      <c r="B1019" s="251">
        <f>B1018</f>
        <v>42213</v>
      </c>
      <c r="C1019" s="228" t="s">
        <v>195</v>
      </c>
      <c r="D1019" s="229" t="s">
        <v>2</v>
      </c>
      <c r="E1019" s="244" t="s">
        <v>170</v>
      </c>
      <c r="F1019" s="236">
        <v>1170000</v>
      </c>
      <c r="G1019" s="237" t="s">
        <v>212</v>
      </c>
    </row>
    <row r="1020" spans="1:8" ht="15.75">
      <c r="A1020" s="243">
        <v>12</v>
      </c>
      <c r="B1020" s="251">
        <f t="shared" ref="B1020:B1025" si="97">B1019</f>
        <v>42213</v>
      </c>
      <c r="C1020" s="228" t="s">
        <v>195</v>
      </c>
      <c r="D1020" s="229" t="s">
        <v>2</v>
      </c>
      <c r="E1020" s="244" t="s">
        <v>81</v>
      </c>
      <c r="F1020" s="236">
        <v>207000</v>
      </c>
      <c r="G1020" s="237" t="s">
        <v>212</v>
      </c>
    </row>
    <row r="1021" spans="1:8" ht="15.75">
      <c r="A1021" s="243">
        <v>13</v>
      </c>
      <c r="B1021" s="251">
        <f t="shared" si="97"/>
        <v>42213</v>
      </c>
      <c r="C1021" s="228" t="s">
        <v>195</v>
      </c>
      <c r="D1021" s="229" t="s">
        <v>57</v>
      </c>
      <c r="E1021" s="244" t="s">
        <v>79</v>
      </c>
      <c r="F1021" s="236">
        <v>200000</v>
      </c>
      <c r="G1021" s="237" t="s">
        <v>212</v>
      </c>
    </row>
    <row r="1022" spans="1:8" ht="15.75">
      <c r="A1022" s="243">
        <v>14</v>
      </c>
      <c r="B1022" s="251">
        <f t="shared" si="97"/>
        <v>42213</v>
      </c>
      <c r="C1022" s="228" t="s">
        <v>195</v>
      </c>
      <c r="D1022" s="229" t="s">
        <v>57</v>
      </c>
      <c r="E1022" s="244" t="s">
        <v>87</v>
      </c>
      <c r="F1022" s="236">
        <v>70000</v>
      </c>
      <c r="G1022" s="237" t="s">
        <v>212</v>
      </c>
    </row>
    <row r="1023" spans="1:8" ht="15.75">
      <c r="A1023" s="243">
        <v>15</v>
      </c>
      <c r="B1023" s="251">
        <f t="shared" si="97"/>
        <v>42213</v>
      </c>
      <c r="C1023" s="228" t="s">
        <v>195</v>
      </c>
      <c r="D1023" s="229" t="s">
        <v>3</v>
      </c>
      <c r="E1023" s="244" t="s">
        <v>76</v>
      </c>
      <c r="F1023" s="236">
        <v>300000</v>
      </c>
      <c r="G1023" s="237" t="s">
        <v>212</v>
      </c>
    </row>
    <row r="1024" spans="1:8" ht="15.75">
      <c r="A1024" s="243">
        <v>16</v>
      </c>
      <c r="B1024" s="251">
        <f t="shared" si="97"/>
        <v>42213</v>
      </c>
      <c r="C1024" s="228" t="s">
        <v>195</v>
      </c>
      <c r="D1024" s="229" t="s">
        <v>2</v>
      </c>
      <c r="E1024" s="244" t="s">
        <v>357</v>
      </c>
      <c r="F1024" s="236">
        <v>6345000</v>
      </c>
      <c r="G1024" s="237" t="s">
        <v>212</v>
      </c>
    </row>
    <row r="1025" spans="1:7" ht="15.75">
      <c r="A1025" s="243">
        <v>17</v>
      </c>
      <c r="B1025" s="251">
        <f t="shared" si="97"/>
        <v>42213</v>
      </c>
      <c r="C1025" s="228" t="s">
        <v>195</v>
      </c>
      <c r="D1025" s="229" t="s">
        <v>57</v>
      </c>
      <c r="E1025" s="244" t="s">
        <v>186</v>
      </c>
      <c r="F1025" s="236">
        <v>150000</v>
      </c>
      <c r="G1025" s="237" t="s">
        <v>212</v>
      </c>
    </row>
    <row r="1026" spans="1:7" ht="15.75">
      <c r="A1026" s="243">
        <v>18</v>
      </c>
      <c r="B1026" s="251">
        <f>B1025</f>
        <v>42213</v>
      </c>
      <c r="C1026" s="228" t="s">
        <v>195</v>
      </c>
      <c r="D1026" s="229" t="s">
        <v>57</v>
      </c>
      <c r="E1026" s="244" t="s">
        <v>313</v>
      </c>
      <c r="F1026" s="236">
        <v>200000</v>
      </c>
      <c r="G1026" s="237" t="s">
        <v>212</v>
      </c>
    </row>
    <row r="1027" spans="1:7" ht="15.75">
      <c r="A1027" s="243">
        <v>19</v>
      </c>
      <c r="B1027" s="251">
        <f>B1026+1</f>
        <v>42214</v>
      </c>
      <c r="C1027" s="228" t="s">
        <v>195</v>
      </c>
      <c r="D1027" s="229"/>
      <c r="E1027" s="239" t="s">
        <v>211</v>
      </c>
      <c r="F1027" s="236"/>
      <c r="G1027" s="237" t="s">
        <v>212</v>
      </c>
    </row>
    <row r="1028" spans="1:7" ht="15.75">
      <c r="A1028" s="243">
        <v>20</v>
      </c>
      <c r="B1028" s="251">
        <f>B1027</f>
        <v>42214</v>
      </c>
      <c r="C1028" s="228" t="s">
        <v>195</v>
      </c>
      <c r="D1028" s="229" t="s">
        <v>2</v>
      </c>
      <c r="E1028" s="244" t="s">
        <v>170</v>
      </c>
      <c r="F1028" s="236">
        <v>1170000</v>
      </c>
      <c r="G1028" s="237" t="s">
        <v>212</v>
      </c>
    </row>
    <row r="1029" spans="1:7" ht="15.75">
      <c r="A1029" s="243">
        <v>21</v>
      </c>
      <c r="B1029" s="251">
        <f t="shared" ref="B1029:B1034" si="98">B1028</f>
        <v>42214</v>
      </c>
      <c r="C1029" s="228" t="s">
        <v>195</v>
      </c>
      <c r="D1029" s="229" t="s">
        <v>2</v>
      </c>
      <c r="E1029" s="244" t="s">
        <v>81</v>
      </c>
      <c r="F1029" s="236">
        <v>207000</v>
      </c>
      <c r="G1029" s="237" t="s">
        <v>212</v>
      </c>
    </row>
    <row r="1030" spans="1:7" ht="15.75">
      <c r="A1030" s="243">
        <v>22</v>
      </c>
      <c r="B1030" s="251">
        <f t="shared" si="98"/>
        <v>42214</v>
      </c>
      <c r="C1030" s="228" t="s">
        <v>195</v>
      </c>
      <c r="D1030" s="229" t="s">
        <v>57</v>
      </c>
      <c r="E1030" s="244" t="s">
        <v>79</v>
      </c>
      <c r="F1030" s="236">
        <v>200000</v>
      </c>
      <c r="G1030" s="237" t="s">
        <v>212</v>
      </c>
    </row>
    <row r="1031" spans="1:7" ht="15.75">
      <c r="A1031" s="243">
        <v>23</v>
      </c>
      <c r="B1031" s="251">
        <f t="shared" si="98"/>
        <v>42214</v>
      </c>
      <c r="C1031" s="228" t="s">
        <v>195</v>
      </c>
      <c r="D1031" s="229" t="s">
        <v>57</v>
      </c>
      <c r="E1031" s="244" t="s">
        <v>87</v>
      </c>
      <c r="F1031" s="236">
        <v>70000</v>
      </c>
      <c r="G1031" s="237" t="s">
        <v>212</v>
      </c>
    </row>
    <row r="1032" spans="1:7" ht="15.75">
      <c r="A1032" s="243">
        <v>24</v>
      </c>
      <c r="B1032" s="251">
        <f t="shared" si="98"/>
        <v>42214</v>
      </c>
      <c r="C1032" s="228" t="s">
        <v>195</v>
      </c>
      <c r="D1032" s="229" t="s">
        <v>3</v>
      </c>
      <c r="E1032" s="244" t="s">
        <v>76</v>
      </c>
      <c r="F1032" s="236">
        <v>300000</v>
      </c>
      <c r="G1032" s="237" t="s">
        <v>212</v>
      </c>
    </row>
    <row r="1033" spans="1:7" ht="15.75">
      <c r="A1033" s="243">
        <v>25</v>
      </c>
      <c r="B1033" s="251">
        <f t="shared" si="98"/>
        <v>42214</v>
      </c>
      <c r="C1033" s="228" t="s">
        <v>195</v>
      </c>
      <c r="D1033" s="229" t="s">
        <v>2</v>
      </c>
      <c r="E1033" s="244" t="s">
        <v>357</v>
      </c>
      <c r="F1033" s="236">
        <v>6345000</v>
      </c>
      <c r="G1033" s="237" t="s">
        <v>212</v>
      </c>
    </row>
    <row r="1034" spans="1:7" ht="15.75">
      <c r="A1034" s="243">
        <v>26</v>
      </c>
      <c r="B1034" s="251">
        <f t="shared" si="98"/>
        <v>42214</v>
      </c>
      <c r="C1034" s="228" t="s">
        <v>195</v>
      </c>
      <c r="D1034" s="229" t="s">
        <v>57</v>
      </c>
      <c r="E1034" s="244" t="s">
        <v>186</v>
      </c>
      <c r="F1034" s="236">
        <v>150000</v>
      </c>
      <c r="G1034" s="237" t="s">
        <v>212</v>
      </c>
    </row>
    <row r="1035" spans="1:7" ht="15.75">
      <c r="A1035" s="243">
        <v>27</v>
      </c>
      <c r="B1035" s="251">
        <f>B1034</f>
        <v>42214</v>
      </c>
      <c r="C1035" s="228" t="s">
        <v>195</v>
      </c>
      <c r="D1035" s="229" t="s">
        <v>57</v>
      </c>
      <c r="E1035" s="244" t="s">
        <v>313</v>
      </c>
      <c r="F1035" s="236">
        <v>200000</v>
      </c>
      <c r="G1035" s="237" t="s">
        <v>212</v>
      </c>
    </row>
    <row r="1036" spans="1:7" ht="15.75">
      <c r="A1036" s="243">
        <v>28</v>
      </c>
      <c r="B1036" s="251">
        <f>B1035+1</f>
        <v>42215</v>
      </c>
      <c r="C1036" s="228" t="s">
        <v>195</v>
      </c>
      <c r="D1036" s="229"/>
      <c r="E1036" s="239" t="s">
        <v>211</v>
      </c>
      <c r="F1036" s="236"/>
      <c r="G1036" s="237" t="s">
        <v>212</v>
      </c>
    </row>
    <row r="1037" spans="1:7" ht="15.75">
      <c r="A1037" s="243">
        <v>29</v>
      </c>
      <c r="B1037" s="251">
        <f>B1036</f>
        <v>42215</v>
      </c>
      <c r="C1037" s="228" t="s">
        <v>195</v>
      </c>
      <c r="D1037" s="229" t="s">
        <v>2</v>
      </c>
      <c r="E1037" s="244" t="s">
        <v>170</v>
      </c>
      <c r="F1037" s="236">
        <v>1170000</v>
      </c>
      <c r="G1037" s="237" t="s">
        <v>212</v>
      </c>
    </row>
    <row r="1038" spans="1:7" ht="15.75">
      <c r="A1038" s="243">
        <v>30</v>
      </c>
      <c r="B1038" s="251">
        <f t="shared" ref="B1038:B1043" si="99">B1037</f>
        <v>42215</v>
      </c>
      <c r="C1038" s="228" t="s">
        <v>195</v>
      </c>
      <c r="D1038" s="229" t="s">
        <v>2</v>
      </c>
      <c r="E1038" s="244" t="s">
        <v>81</v>
      </c>
      <c r="F1038" s="236">
        <v>207000</v>
      </c>
      <c r="G1038" s="237" t="s">
        <v>212</v>
      </c>
    </row>
    <row r="1039" spans="1:7" ht="15.75">
      <c r="A1039" s="243">
        <v>31</v>
      </c>
      <c r="B1039" s="251">
        <f t="shared" si="99"/>
        <v>42215</v>
      </c>
      <c r="C1039" s="228" t="s">
        <v>195</v>
      </c>
      <c r="D1039" s="229" t="s">
        <v>57</v>
      </c>
      <c r="E1039" s="244" t="s">
        <v>79</v>
      </c>
      <c r="F1039" s="236">
        <v>200000</v>
      </c>
      <c r="G1039" s="237" t="s">
        <v>212</v>
      </c>
    </row>
    <row r="1040" spans="1:7" ht="15.75">
      <c r="A1040" s="243">
        <v>32</v>
      </c>
      <c r="B1040" s="251">
        <f t="shared" si="99"/>
        <v>42215</v>
      </c>
      <c r="C1040" s="228" t="s">
        <v>195</v>
      </c>
      <c r="D1040" s="229" t="s">
        <v>57</v>
      </c>
      <c r="E1040" s="244" t="s">
        <v>87</v>
      </c>
      <c r="F1040" s="236">
        <v>70000</v>
      </c>
      <c r="G1040" s="237" t="s">
        <v>212</v>
      </c>
    </row>
    <row r="1041" spans="1:7" ht="15.75">
      <c r="A1041" s="243">
        <v>33</v>
      </c>
      <c r="B1041" s="251">
        <f t="shared" si="99"/>
        <v>42215</v>
      </c>
      <c r="C1041" s="228" t="s">
        <v>195</v>
      </c>
      <c r="D1041" s="229" t="s">
        <v>3</v>
      </c>
      <c r="E1041" s="244" t="s">
        <v>76</v>
      </c>
      <c r="F1041" s="236">
        <v>300000</v>
      </c>
      <c r="G1041" s="237" t="s">
        <v>212</v>
      </c>
    </row>
    <row r="1042" spans="1:7" ht="15.75">
      <c r="A1042" s="243">
        <v>34</v>
      </c>
      <c r="B1042" s="251">
        <f t="shared" si="99"/>
        <v>42215</v>
      </c>
      <c r="C1042" s="228" t="s">
        <v>195</v>
      </c>
      <c r="D1042" s="229" t="s">
        <v>2</v>
      </c>
      <c r="E1042" s="244" t="s">
        <v>357</v>
      </c>
      <c r="F1042" s="236">
        <v>6345000</v>
      </c>
      <c r="G1042" s="237" t="s">
        <v>212</v>
      </c>
    </row>
    <row r="1043" spans="1:7" ht="15.75">
      <c r="A1043" s="243">
        <v>35</v>
      </c>
      <c r="B1043" s="251">
        <f t="shared" si="99"/>
        <v>42215</v>
      </c>
      <c r="C1043" s="228" t="s">
        <v>195</v>
      </c>
      <c r="D1043" s="229" t="s">
        <v>57</v>
      </c>
      <c r="E1043" s="244" t="s">
        <v>186</v>
      </c>
      <c r="F1043" s="236">
        <v>150000</v>
      </c>
      <c r="G1043" s="237" t="s">
        <v>212</v>
      </c>
    </row>
    <row r="1044" spans="1:7" ht="15.75">
      <c r="A1044" s="243">
        <v>36</v>
      </c>
      <c r="B1044" s="251">
        <f>B1043</f>
        <v>42215</v>
      </c>
      <c r="C1044" s="228" t="s">
        <v>195</v>
      </c>
      <c r="D1044" s="229" t="s">
        <v>57</v>
      </c>
      <c r="E1044" s="244" t="s">
        <v>313</v>
      </c>
      <c r="F1044" s="236">
        <v>200000</v>
      </c>
      <c r="G1044" s="237" t="s">
        <v>212</v>
      </c>
    </row>
    <row r="1045" spans="1:7" ht="15.75">
      <c r="A1045" s="243">
        <v>37</v>
      </c>
      <c r="B1045" s="251">
        <f>B1044+1</f>
        <v>42216</v>
      </c>
      <c r="C1045" s="228" t="s">
        <v>195</v>
      </c>
      <c r="D1045" s="229"/>
      <c r="E1045" s="239" t="s">
        <v>211</v>
      </c>
      <c r="F1045" s="236"/>
      <c r="G1045" s="237" t="s">
        <v>212</v>
      </c>
    </row>
    <row r="1046" spans="1:7" ht="15.75">
      <c r="A1046" s="243">
        <v>38</v>
      </c>
      <c r="B1046" s="251">
        <f>B1045</f>
        <v>42216</v>
      </c>
      <c r="C1046" s="228" t="s">
        <v>195</v>
      </c>
      <c r="D1046" s="229" t="s">
        <v>2</v>
      </c>
      <c r="E1046" s="244" t="s">
        <v>170</v>
      </c>
      <c r="F1046" s="236">
        <v>1170000</v>
      </c>
      <c r="G1046" s="237" t="s">
        <v>212</v>
      </c>
    </row>
    <row r="1047" spans="1:7" ht="15.75">
      <c r="A1047" s="243">
        <v>39</v>
      </c>
      <c r="B1047" s="251">
        <f t="shared" ref="B1047:B1052" si="100">B1046</f>
        <v>42216</v>
      </c>
      <c r="C1047" s="228" t="s">
        <v>195</v>
      </c>
      <c r="D1047" s="229" t="s">
        <v>2</v>
      </c>
      <c r="E1047" s="244" t="s">
        <v>81</v>
      </c>
      <c r="F1047" s="236">
        <v>207000</v>
      </c>
      <c r="G1047" s="237" t="s">
        <v>212</v>
      </c>
    </row>
    <row r="1048" spans="1:7" ht="15.75">
      <c r="A1048" s="243">
        <v>40</v>
      </c>
      <c r="B1048" s="251">
        <f t="shared" si="100"/>
        <v>42216</v>
      </c>
      <c r="C1048" s="228" t="s">
        <v>195</v>
      </c>
      <c r="D1048" s="229" t="s">
        <v>57</v>
      </c>
      <c r="E1048" s="244" t="s">
        <v>79</v>
      </c>
      <c r="F1048" s="236">
        <v>200000</v>
      </c>
      <c r="G1048" s="237" t="s">
        <v>212</v>
      </c>
    </row>
    <row r="1049" spans="1:7" ht="15.75">
      <c r="A1049" s="243">
        <v>41</v>
      </c>
      <c r="B1049" s="251">
        <f t="shared" si="100"/>
        <v>42216</v>
      </c>
      <c r="C1049" s="228" t="s">
        <v>195</v>
      </c>
      <c r="D1049" s="229" t="s">
        <v>57</v>
      </c>
      <c r="E1049" s="244" t="s">
        <v>87</v>
      </c>
      <c r="F1049" s="236">
        <v>70000</v>
      </c>
      <c r="G1049" s="237" t="s">
        <v>212</v>
      </c>
    </row>
    <row r="1050" spans="1:7" ht="15.75">
      <c r="A1050" s="243">
        <v>42</v>
      </c>
      <c r="B1050" s="251">
        <f t="shared" si="100"/>
        <v>42216</v>
      </c>
      <c r="C1050" s="228" t="s">
        <v>195</v>
      </c>
      <c r="D1050" s="229" t="s">
        <v>3</v>
      </c>
      <c r="E1050" s="244" t="s">
        <v>76</v>
      </c>
      <c r="F1050" s="236">
        <v>300000</v>
      </c>
      <c r="G1050" s="237" t="s">
        <v>212</v>
      </c>
    </row>
    <row r="1051" spans="1:7" ht="15.75">
      <c r="A1051" s="243">
        <v>43</v>
      </c>
      <c r="B1051" s="251">
        <f t="shared" si="100"/>
        <v>42216</v>
      </c>
      <c r="C1051" s="228" t="s">
        <v>195</v>
      </c>
      <c r="D1051" s="229" t="s">
        <v>2</v>
      </c>
      <c r="E1051" s="244" t="s">
        <v>357</v>
      </c>
      <c r="F1051" s="236">
        <v>6345000</v>
      </c>
      <c r="G1051" s="237" t="s">
        <v>212</v>
      </c>
    </row>
    <row r="1052" spans="1:7" ht="15.75">
      <c r="A1052" s="243">
        <v>44</v>
      </c>
      <c r="B1052" s="251">
        <f t="shared" si="100"/>
        <v>42216</v>
      </c>
      <c r="C1052" s="228" t="s">
        <v>195</v>
      </c>
      <c r="D1052" s="229" t="s">
        <v>57</v>
      </c>
      <c r="E1052" s="244" t="s">
        <v>186</v>
      </c>
      <c r="F1052" s="236">
        <v>150000</v>
      </c>
      <c r="G1052" s="237" t="s">
        <v>212</v>
      </c>
    </row>
    <row r="1053" spans="1:7" ht="15.75">
      <c r="A1053" s="243">
        <v>45</v>
      </c>
      <c r="B1053" s="251">
        <f>B1052</f>
        <v>42216</v>
      </c>
      <c r="C1053" s="228" t="s">
        <v>195</v>
      </c>
      <c r="D1053" s="229" t="s">
        <v>57</v>
      </c>
      <c r="E1053" s="244" t="s">
        <v>313</v>
      </c>
      <c r="F1053" s="236">
        <v>200000</v>
      </c>
      <c r="G1053" s="237" t="s">
        <v>212</v>
      </c>
    </row>
    <row r="1054" spans="1:7" ht="15.75">
      <c r="A1054" s="243">
        <v>46</v>
      </c>
      <c r="B1054" s="251">
        <f>B1053+1</f>
        <v>42217</v>
      </c>
      <c r="C1054" s="228" t="s">
        <v>195</v>
      </c>
      <c r="D1054" s="229"/>
      <c r="E1054" s="239" t="s">
        <v>211</v>
      </c>
      <c r="F1054" s="236"/>
      <c r="G1054" s="237" t="s">
        <v>212</v>
      </c>
    </row>
    <row r="1055" spans="1:7" ht="15.75">
      <c r="A1055" s="243">
        <v>47</v>
      </c>
      <c r="B1055" s="251">
        <f>B1054</f>
        <v>42217</v>
      </c>
      <c r="C1055" s="228" t="s">
        <v>195</v>
      </c>
      <c r="D1055" s="229" t="s">
        <v>2</v>
      </c>
      <c r="E1055" s="244" t="s">
        <v>170</v>
      </c>
      <c r="F1055" s="236">
        <v>1170000</v>
      </c>
      <c r="G1055" s="237" t="s">
        <v>212</v>
      </c>
    </row>
    <row r="1056" spans="1:7" ht="15.75">
      <c r="A1056" s="243">
        <v>48</v>
      </c>
      <c r="B1056" s="251">
        <f t="shared" ref="B1056:B1061" si="101">B1055</f>
        <v>42217</v>
      </c>
      <c r="C1056" s="228" t="s">
        <v>195</v>
      </c>
      <c r="D1056" s="229" t="s">
        <v>2</v>
      </c>
      <c r="E1056" s="244" t="s">
        <v>81</v>
      </c>
      <c r="F1056" s="236">
        <v>207000</v>
      </c>
      <c r="G1056" s="237" t="s">
        <v>212</v>
      </c>
    </row>
    <row r="1057" spans="1:8" ht="15.75">
      <c r="A1057" s="243">
        <v>49</v>
      </c>
      <c r="B1057" s="251">
        <f t="shared" si="101"/>
        <v>42217</v>
      </c>
      <c r="C1057" s="228" t="s">
        <v>195</v>
      </c>
      <c r="D1057" s="229" t="s">
        <v>57</v>
      </c>
      <c r="E1057" s="244" t="s">
        <v>79</v>
      </c>
      <c r="F1057" s="236">
        <v>200000</v>
      </c>
      <c r="G1057" s="237" t="s">
        <v>212</v>
      </c>
    </row>
    <row r="1058" spans="1:8" ht="15.75">
      <c r="A1058" s="243">
        <v>50</v>
      </c>
      <c r="B1058" s="251">
        <f t="shared" si="101"/>
        <v>42217</v>
      </c>
      <c r="C1058" s="228" t="s">
        <v>195</v>
      </c>
      <c r="D1058" s="229" t="s">
        <v>57</v>
      </c>
      <c r="E1058" s="244" t="s">
        <v>87</v>
      </c>
      <c r="F1058" s="236">
        <v>70000</v>
      </c>
      <c r="G1058" s="237" t="s">
        <v>212</v>
      </c>
    </row>
    <row r="1059" spans="1:8" ht="15.75">
      <c r="A1059" s="243">
        <v>51</v>
      </c>
      <c r="B1059" s="251">
        <f t="shared" si="101"/>
        <v>42217</v>
      </c>
      <c r="C1059" s="228" t="s">
        <v>195</v>
      </c>
      <c r="D1059" s="229" t="s">
        <v>3</v>
      </c>
      <c r="E1059" s="244" t="s">
        <v>76</v>
      </c>
      <c r="F1059" s="236">
        <v>300000</v>
      </c>
      <c r="G1059" s="237" t="s">
        <v>212</v>
      </c>
    </row>
    <row r="1060" spans="1:8" ht="15.75">
      <c r="A1060" s="243">
        <v>52</v>
      </c>
      <c r="B1060" s="251">
        <f t="shared" si="101"/>
        <v>42217</v>
      </c>
      <c r="C1060" s="228" t="s">
        <v>195</v>
      </c>
      <c r="D1060" s="229" t="s">
        <v>2</v>
      </c>
      <c r="E1060" s="244" t="s">
        <v>357</v>
      </c>
      <c r="F1060" s="236">
        <v>6345000</v>
      </c>
      <c r="G1060" s="237" t="s">
        <v>212</v>
      </c>
    </row>
    <row r="1061" spans="1:8" ht="15.75">
      <c r="A1061" s="243">
        <v>53</v>
      </c>
      <c r="B1061" s="251">
        <f t="shared" si="101"/>
        <v>42217</v>
      </c>
      <c r="C1061" s="228" t="s">
        <v>195</v>
      </c>
      <c r="D1061" s="229" t="s">
        <v>57</v>
      </c>
      <c r="E1061" s="244" t="s">
        <v>186</v>
      </c>
      <c r="F1061" s="236">
        <v>150000</v>
      </c>
      <c r="G1061" s="237" t="s">
        <v>212</v>
      </c>
    </row>
    <row r="1062" spans="1:8" ht="15.75">
      <c r="A1062" s="243">
        <v>54</v>
      </c>
      <c r="B1062" s="251">
        <f>B1061</f>
        <v>42217</v>
      </c>
      <c r="C1062" s="228" t="s">
        <v>195</v>
      </c>
      <c r="D1062" s="229" t="s">
        <v>57</v>
      </c>
      <c r="E1062" s="244" t="s">
        <v>313</v>
      </c>
      <c r="F1062" s="236">
        <v>200000</v>
      </c>
      <c r="G1062" s="237" t="s">
        <v>212</v>
      </c>
    </row>
    <row r="1063" spans="1:8" ht="15.75">
      <c r="A1063" s="243">
        <v>55</v>
      </c>
      <c r="B1063" s="251">
        <f>B1062+1</f>
        <v>42218</v>
      </c>
      <c r="C1063" s="228" t="s">
        <v>195</v>
      </c>
      <c r="D1063" s="229"/>
      <c r="E1063" s="239" t="s">
        <v>211</v>
      </c>
      <c r="F1063" s="236"/>
      <c r="G1063" s="237" t="s">
        <v>212</v>
      </c>
    </row>
    <row r="1064" spans="1:8" ht="15.75">
      <c r="A1064" s="243">
        <v>56</v>
      </c>
      <c r="B1064" s="251">
        <f>B1063</f>
        <v>42218</v>
      </c>
      <c r="C1064" s="228" t="s">
        <v>195</v>
      </c>
      <c r="D1064" s="229" t="s">
        <v>2</v>
      </c>
      <c r="E1064" s="244" t="s">
        <v>170</v>
      </c>
      <c r="F1064" s="236">
        <v>1170000</v>
      </c>
      <c r="G1064" s="237" t="s">
        <v>212</v>
      </c>
    </row>
    <row r="1065" spans="1:8" ht="15.75">
      <c r="A1065" s="243">
        <v>58</v>
      </c>
      <c r="B1065" s="251">
        <f t="shared" ref="B1065:B1070" si="102">B1064</f>
        <v>42218</v>
      </c>
      <c r="C1065" s="228" t="s">
        <v>195</v>
      </c>
      <c r="D1065" s="229" t="s">
        <v>2</v>
      </c>
      <c r="E1065" s="244" t="s">
        <v>81</v>
      </c>
      <c r="F1065" s="236">
        <v>207000</v>
      </c>
      <c r="G1065" s="237" t="s">
        <v>212</v>
      </c>
      <c r="H1065" s="279">
        <f>SUBTOTAL(9,F1066:F1613)</f>
        <v>759836000</v>
      </c>
    </row>
    <row r="1066" spans="1:8" ht="15.75">
      <c r="A1066" s="243">
        <v>59</v>
      </c>
      <c r="B1066" s="251">
        <f t="shared" si="102"/>
        <v>42218</v>
      </c>
      <c r="C1066" s="228" t="s">
        <v>195</v>
      </c>
      <c r="D1066" s="229" t="s">
        <v>57</v>
      </c>
      <c r="E1066" s="244" t="s">
        <v>79</v>
      </c>
      <c r="F1066" s="236">
        <v>200000</v>
      </c>
      <c r="G1066" s="237" t="s">
        <v>212</v>
      </c>
    </row>
    <row r="1067" spans="1:8" ht="15.75">
      <c r="A1067" s="243">
        <v>60</v>
      </c>
      <c r="B1067" s="251">
        <f t="shared" si="102"/>
        <v>42218</v>
      </c>
      <c r="C1067" s="228" t="s">
        <v>195</v>
      </c>
      <c r="D1067" s="229" t="s">
        <v>57</v>
      </c>
      <c r="E1067" s="244" t="s">
        <v>87</v>
      </c>
      <c r="F1067" s="236">
        <v>70000</v>
      </c>
      <c r="G1067" s="237" t="s">
        <v>212</v>
      </c>
    </row>
    <row r="1068" spans="1:8" ht="15.75">
      <c r="A1068" s="243">
        <v>61</v>
      </c>
      <c r="B1068" s="251">
        <f t="shared" si="102"/>
        <v>42218</v>
      </c>
      <c r="C1068" s="228" t="s">
        <v>195</v>
      </c>
      <c r="D1068" s="229" t="s">
        <v>3</v>
      </c>
      <c r="E1068" s="244" t="s">
        <v>76</v>
      </c>
      <c r="F1068" s="236">
        <v>300000</v>
      </c>
      <c r="G1068" s="237" t="s">
        <v>212</v>
      </c>
    </row>
    <row r="1069" spans="1:8" ht="15.75">
      <c r="A1069" s="243">
        <v>62</v>
      </c>
      <c r="B1069" s="251">
        <f t="shared" si="102"/>
        <v>42218</v>
      </c>
      <c r="C1069" s="228" t="s">
        <v>195</v>
      </c>
      <c r="D1069" s="229" t="s">
        <v>2</v>
      </c>
      <c r="E1069" s="244" t="s">
        <v>357</v>
      </c>
      <c r="F1069" s="236">
        <v>6345000</v>
      </c>
      <c r="G1069" s="237" t="s">
        <v>212</v>
      </c>
    </row>
    <row r="1070" spans="1:8" ht="15.75">
      <c r="A1070" s="243">
        <v>63</v>
      </c>
      <c r="B1070" s="251">
        <f t="shared" si="102"/>
        <v>42218</v>
      </c>
      <c r="C1070" s="228" t="s">
        <v>195</v>
      </c>
      <c r="D1070" s="229" t="s">
        <v>57</v>
      </c>
      <c r="E1070" s="244" t="s">
        <v>186</v>
      </c>
      <c r="F1070" s="236">
        <v>150000</v>
      </c>
      <c r="G1070" s="237" t="s">
        <v>212</v>
      </c>
    </row>
    <row r="1071" spans="1:8" ht="15.75">
      <c r="A1071" s="243">
        <v>64</v>
      </c>
      <c r="B1071" s="251">
        <f>B1070</f>
        <v>42218</v>
      </c>
      <c r="C1071" s="228" t="s">
        <v>195</v>
      </c>
      <c r="D1071" s="229" t="s">
        <v>57</v>
      </c>
      <c r="E1071" s="244" t="s">
        <v>313</v>
      </c>
      <c r="F1071" s="236">
        <v>200000</v>
      </c>
      <c r="G1071" s="237" t="s">
        <v>212</v>
      </c>
    </row>
    <row r="1072" spans="1:8" ht="15.75">
      <c r="A1072" s="243">
        <v>65</v>
      </c>
      <c r="B1072" s="251">
        <f>B1071+1</f>
        <v>42219</v>
      </c>
      <c r="C1072" s="228" t="s">
        <v>195</v>
      </c>
      <c r="D1072" s="229"/>
      <c r="E1072" s="239" t="s">
        <v>211</v>
      </c>
      <c r="F1072" s="236"/>
      <c r="G1072" s="237" t="s">
        <v>212</v>
      </c>
    </row>
    <row r="1073" spans="1:8" ht="15.75">
      <c r="A1073" s="243">
        <v>66</v>
      </c>
      <c r="B1073" s="251">
        <f>B1072</f>
        <v>42219</v>
      </c>
      <c r="C1073" s="228" t="s">
        <v>195</v>
      </c>
      <c r="D1073" s="229" t="s">
        <v>2</v>
      </c>
      <c r="E1073" s="244" t="s">
        <v>170</v>
      </c>
      <c r="F1073" s="236">
        <v>1170000</v>
      </c>
      <c r="G1073" s="237" t="s">
        <v>212</v>
      </c>
      <c r="H1073" s="279">
        <f>SUBTOTAL(9,F1073:F1611)</f>
        <v>752571000</v>
      </c>
    </row>
    <row r="1074" spans="1:8" ht="15.75">
      <c r="A1074" s="243">
        <v>67</v>
      </c>
      <c r="B1074" s="251">
        <f t="shared" ref="B1074:B1079" si="103">B1073</f>
        <v>42219</v>
      </c>
      <c r="C1074" s="228" t="s">
        <v>195</v>
      </c>
      <c r="D1074" s="229" t="s">
        <v>2</v>
      </c>
      <c r="E1074" s="244" t="s">
        <v>81</v>
      </c>
      <c r="F1074" s="236">
        <v>207000</v>
      </c>
      <c r="G1074" s="237" t="s">
        <v>212</v>
      </c>
    </row>
    <row r="1075" spans="1:8" ht="15.75">
      <c r="A1075" s="243">
        <v>68</v>
      </c>
      <c r="B1075" s="251">
        <f t="shared" si="103"/>
        <v>42219</v>
      </c>
      <c r="C1075" s="228" t="s">
        <v>195</v>
      </c>
      <c r="D1075" s="229" t="s">
        <v>57</v>
      </c>
      <c r="E1075" s="244" t="s">
        <v>79</v>
      </c>
      <c r="F1075" s="236">
        <v>200000</v>
      </c>
      <c r="G1075" s="237" t="s">
        <v>212</v>
      </c>
    </row>
    <row r="1076" spans="1:8" ht="15.75">
      <c r="A1076" s="243">
        <v>69</v>
      </c>
      <c r="B1076" s="251">
        <f t="shared" si="103"/>
        <v>42219</v>
      </c>
      <c r="C1076" s="228" t="s">
        <v>195</v>
      </c>
      <c r="D1076" s="229" t="s">
        <v>57</v>
      </c>
      <c r="E1076" s="244" t="s">
        <v>87</v>
      </c>
      <c r="F1076" s="236">
        <v>70000</v>
      </c>
      <c r="G1076" s="237" t="s">
        <v>212</v>
      </c>
    </row>
    <row r="1077" spans="1:8" ht="15.75">
      <c r="A1077" s="243">
        <v>70</v>
      </c>
      <c r="B1077" s="251">
        <f t="shared" si="103"/>
        <v>42219</v>
      </c>
      <c r="C1077" s="228" t="s">
        <v>195</v>
      </c>
      <c r="D1077" s="229" t="s">
        <v>3</v>
      </c>
      <c r="E1077" s="244" t="s">
        <v>76</v>
      </c>
      <c r="F1077" s="236">
        <v>300000</v>
      </c>
      <c r="G1077" s="237" t="s">
        <v>212</v>
      </c>
    </row>
    <row r="1078" spans="1:8" ht="15.75">
      <c r="A1078" s="243">
        <v>71</v>
      </c>
      <c r="B1078" s="251">
        <f t="shared" si="103"/>
        <v>42219</v>
      </c>
      <c r="C1078" s="228" t="s">
        <v>195</v>
      </c>
      <c r="D1078" s="229" t="s">
        <v>2</v>
      </c>
      <c r="E1078" s="244" t="s">
        <v>357</v>
      </c>
      <c r="F1078" s="236">
        <v>6345000</v>
      </c>
      <c r="G1078" s="237" t="s">
        <v>212</v>
      </c>
      <c r="H1078" s="241"/>
    </row>
    <row r="1079" spans="1:8" ht="15.75">
      <c r="A1079" s="243">
        <v>72</v>
      </c>
      <c r="B1079" s="251">
        <f t="shared" si="103"/>
        <v>42219</v>
      </c>
      <c r="C1079" s="228" t="s">
        <v>195</v>
      </c>
      <c r="D1079" s="229" t="s">
        <v>57</v>
      </c>
      <c r="E1079" s="244" t="s">
        <v>186</v>
      </c>
      <c r="F1079" s="236">
        <v>150000</v>
      </c>
      <c r="G1079" s="237" t="s">
        <v>212</v>
      </c>
      <c r="H1079" s="241"/>
    </row>
    <row r="1080" spans="1:8" ht="15.75">
      <c r="A1080" s="243">
        <v>73</v>
      </c>
      <c r="B1080" s="251">
        <f>B1079</f>
        <v>42219</v>
      </c>
      <c r="C1080" s="228" t="s">
        <v>195</v>
      </c>
      <c r="D1080" s="229" t="s">
        <v>57</v>
      </c>
      <c r="E1080" s="244" t="s">
        <v>313</v>
      </c>
      <c r="F1080" s="236">
        <v>200000</v>
      </c>
      <c r="G1080" s="237" t="s">
        <v>212</v>
      </c>
    </row>
    <row r="1081" spans="1:8" ht="15.75">
      <c r="A1081" s="243">
        <v>74</v>
      </c>
      <c r="B1081" s="251">
        <f>B1080+1</f>
        <v>42220</v>
      </c>
      <c r="C1081" s="228" t="s">
        <v>195</v>
      </c>
      <c r="D1081" s="229"/>
      <c r="E1081" s="239" t="s">
        <v>211</v>
      </c>
      <c r="F1081" s="236"/>
      <c r="G1081" s="237" t="s">
        <v>212</v>
      </c>
    </row>
    <row r="1082" spans="1:8" ht="15.75">
      <c r="A1082" s="243">
        <v>75</v>
      </c>
      <c r="B1082" s="251">
        <f>B1081</f>
        <v>42220</v>
      </c>
      <c r="C1082" s="228" t="s">
        <v>195</v>
      </c>
      <c r="D1082" s="229" t="s">
        <v>2</v>
      </c>
      <c r="E1082" s="244" t="s">
        <v>170</v>
      </c>
      <c r="F1082" s="236">
        <v>1170000</v>
      </c>
      <c r="G1082" s="237" t="s">
        <v>212</v>
      </c>
    </row>
    <row r="1083" spans="1:8" ht="15.75">
      <c r="A1083" s="243">
        <v>76</v>
      </c>
      <c r="B1083" s="251">
        <f t="shared" ref="B1083:B1088" si="104">B1082</f>
        <v>42220</v>
      </c>
      <c r="C1083" s="228" t="s">
        <v>195</v>
      </c>
      <c r="D1083" s="229" t="s">
        <v>2</v>
      </c>
      <c r="E1083" s="244" t="s">
        <v>81</v>
      </c>
      <c r="F1083" s="236">
        <v>207000</v>
      </c>
      <c r="G1083" s="237" t="s">
        <v>212</v>
      </c>
    </row>
    <row r="1084" spans="1:8" ht="15.75">
      <c r="A1084" s="243">
        <v>77</v>
      </c>
      <c r="B1084" s="251">
        <f t="shared" si="104"/>
        <v>42220</v>
      </c>
      <c r="C1084" s="228" t="s">
        <v>195</v>
      </c>
      <c r="D1084" s="229" t="s">
        <v>57</v>
      </c>
      <c r="E1084" s="244" t="s">
        <v>79</v>
      </c>
      <c r="F1084" s="236">
        <v>200000</v>
      </c>
      <c r="G1084" s="237" t="s">
        <v>212</v>
      </c>
    </row>
    <row r="1085" spans="1:8" ht="15.75">
      <c r="A1085" s="243">
        <v>78</v>
      </c>
      <c r="B1085" s="251">
        <f t="shared" si="104"/>
        <v>42220</v>
      </c>
      <c r="C1085" s="228" t="s">
        <v>195</v>
      </c>
      <c r="D1085" s="229" t="s">
        <v>57</v>
      </c>
      <c r="E1085" s="244" t="s">
        <v>87</v>
      </c>
      <c r="F1085" s="236">
        <v>70000</v>
      </c>
      <c r="G1085" s="237" t="s">
        <v>212</v>
      </c>
    </row>
    <row r="1086" spans="1:8" ht="15.75">
      <c r="A1086" s="243">
        <v>79</v>
      </c>
      <c r="B1086" s="251">
        <f t="shared" si="104"/>
        <v>42220</v>
      </c>
      <c r="C1086" s="228" t="s">
        <v>195</v>
      </c>
      <c r="D1086" s="229" t="s">
        <v>3</v>
      </c>
      <c r="E1086" s="244" t="s">
        <v>76</v>
      </c>
      <c r="F1086" s="236">
        <v>300000</v>
      </c>
      <c r="G1086" s="237" t="s">
        <v>212</v>
      </c>
      <c r="H1086" s="241"/>
    </row>
    <row r="1087" spans="1:8" ht="15.75">
      <c r="A1087" s="243">
        <v>80</v>
      </c>
      <c r="B1087" s="251">
        <f t="shared" si="104"/>
        <v>42220</v>
      </c>
      <c r="C1087" s="228" t="s">
        <v>195</v>
      </c>
      <c r="D1087" s="229" t="s">
        <v>2</v>
      </c>
      <c r="E1087" s="244" t="s">
        <v>357</v>
      </c>
      <c r="F1087" s="236">
        <v>6345000</v>
      </c>
      <c r="G1087" s="237" t="s">
        <v>212</v>
      </c>
      <c r="H1087" s="241"/>
    </row>
    <row r="1088" spans="1:8" ht="15.75">
      <c r="A1088" s="243">
        <v>81</v>
      </c>
      <c r="B1088" s="251">
        <f t="shared" si="104"/>
        <v>42220</v>
      </c>
      <c r="C1088" s="228" t="s">
        <v>195</v>
      </c>
      <c r="D1088" s="229" t="s">
        <v>57</v>
      </c>
      <c r="E1088" s="244" t="s">
        <v>186</v>
      </c>
      <c r="F1088" s="236">
        <v>150000</v>
      </c>
      <c r="G1088" s="237" t="s">
        <v>212</v>
      </c>
    </row>
    <row r="1089" spans="1:8" ht="15.75">
      <c r="A1089" s="243">
        <v>82</v>
      </c>
      <c r="B1089" s="251">
        <f>B1088</f>
        <v>42220</v>
      </c>
      <c r="C1089" s="228" t="s">
        <v>195</v>
      </c>
      <c r="D1089" s="229" t="s">
        <v>57</v>
      </c>
      <c r="E1089" s="244" t="s">
        <v>313</v>
      </c>
      <c r="F1089" s="236">
        <v>200000</v>
      </c>
      <c r="G1089" s="237" t="s">
        <v>212</v>
      </c>
    </row>
    <row r="1090" spans="1:8" ht="15.75">
      <c r="A1090" s="243">
        <v>83</v>
      </c>
      <c r="B1090" s="251">
        <f>B1089+1</f>
        <v>42221</v>
      </c>
      <c r="C1090" s="228" t="s">
        <v>195</v>
      </c>
      <c r="D1090" s="229"/>
      <c r="E1090" s="239" t="s">
        <v>211</v>
      </c>
      <c r="F1090" s="236"/>
      <c r="G1090" s="237" t="s">
        <v>212</v>
      </c>
    </row>
    <row r="1091" spans="1:8" ht="15.75">
      <c r="A1091" s="243">
        <v>84</v>
      </c>
      <c r="B1091" s="251">
        <f>B1090</f>
        <v>42221</v>
      </c>
      <c r="C1091" s="228" t="s">
        <v>195</v>
      </c>
      <c r="D1091" s="229" t="s">
        <v>2</v>
      </c>
      <c r="E1091" s="244" t="s">
        <v>170</v>
      </c>
      <c r="F1091" s="236">
        <v>1170000</v>
      </c>
      <c r="G1091" s="237" t="s">
        <v>212</v>
      </c>
    </row>
    <row r="1092" spans="1:8" ht="15.75">
      <c r="A1092" s="243">
        <v>85</v>
      </c>
      <c r="B1092" s="251">
        <f t="shared" ref="B1092:B1097" si="105">B1091</f>
        <v>42221</v>
      </c>
      <c r="C1092" s="228" t="s">
        <v>195</v>
      </c>
      <c r="D1092" s="229" t="s">
        <v>2</v>
      </c>
      <c r="E1092" s="244" t="s">
        <v>81</v>
      </c>
      <c r="F1092" s="236">
        <v>207000</v>
      </c>
      <c r="G1092" s="237" t="s">
        <v>212</v>
      </c>
    </row>
    <row r="1093" spans="1:8" ht="15.75">
      <c r="A1093" s="243">
        <v>86</v>
      </c>
      <c r="B1093" s="251">
        <f t="shared" si="105"/>
        <v>42221</v>
      </c>
      <c r="C1093" s="228" t="s">
        <v>195</v>
      </c>
      <c r="D1093" s="229" t="s">
        <v>57</v>
      </c>
      <c r="E1093" s="244" t="s">
        <v>79</v>
      </c>
      <c r="F1093" s="236">
        <v>200000</v>
      </c>
      <c r="G1093" s="237" t="s">
        <v>212</v>
      </c>
    </row>
    <row r="1094" spans="1:8" ht="15.75">
      <c r="A1094" s="243">
        <v>87</v>
      </c>
      <c r="B1094" s="251">
        <f t="shared" si="105"/>
        <v>42221</v>
      </c>
      <c r="C1094" s="228" t="s">
        <v>195</v>
      </c>
      <c r="D1094" s="229" t="s">
        <v>57</v>
      </c>
      <c r="E1094" s="244" t="s">
        <v>87</v>
      </c>
      <c r="F1094" s="236">
        <v>70000</v>
      </c>
      <c r="G1094" s="237" t="s">
        <v>212</v>
      </c>
    </row>
    <row r="1095" spans="1:8" ht="15.75">
      <c r="A1095" s="243">
        <v>88</v>
      </c>
      <c r="B1095" s="251">
        <f t="shared" si="105"/>
        <v>42221</v>
      </c>
      <c r="C1095" s="228" t="s">
        <v>195</v>
      </c>
      <c r="D1095" s="229" t="s">
        <v>3</v>
      </c>
      <c r="E1095" s="244" t="s">
        <v>76</v>
      </c>
      <c r="F1095" s="236">
        <v>300000</v>
      </c>
      <c r="G1095" s="237" t="s">
        <v>212</v>
      </c>
    </row>
    <row r="1096" spans="1:8" ht="15.75">
      <c r="A1096" s="243">
        <v>89</v>
      </c>
      <c r="B1096" s="251">
        <f t="shared" si="105"/>
        <v>42221</v>
      </c>
      <c r="C1096" s="228" t="s">
        <v>195</v>
      </c>
      <c r="D1096" s="229" t="s">
        <v>2</v>
      </c>
      <c r="E1096" s="244" t="s">
        <v>357</v>
      </c>
      <c r="F1096" s="236">
        <v>6345000</v>
      </c>
      <c r="G1096" s="237" t="s">
        <v>212</v>
      </c>
    </row>
    <row r="1097" spans="1:8" ht="15.75">
      <c r="A1097" s="243">
        <v>90</v>
      </c>
      <c r="B1097" s="251">
        <f t="shared" si="105"/>
        <v>42221</v>
      </c>
      <c r="C1097" s="228" t="s">
        <v>195</v>
      </c>
      <c r="D1097" s="229" t="s">
        <v>57</v>
      </c>
      <c r="E1097" s="244" t="s">
        <v>186</v>
      </c>
      <c r="F1097" s="236">
        <v>150000</v>
      </c>
      <c r="G1097" s="237" t="s">
        <v>212</v>
      </c>
    </row>
    <row r="1098" spans="1:8" ht="15.75">
      <c r="A1098" s="243">
        <v>91</v>
      </c>
      <c r="B1098" s="251">
        <f>B1097</f>
        <v>42221</v>
      </c>
      <c r="C1098" s="228" t="s">
        <v>195</v>
      </c>
      <c r="D1098" s="229" t="s">
        <v>57</v>
      </c>
      <c r="E1098" s="244" t="s">
        <v>313</v>
      </c>
      <c r="F1098" s="236">
        <v>200000</v>
      </c>
      <c r="G1098" s="237" t="s">
        <v>212</v>
      </c>
      <c r="H1098" s="241"/>
    </row>
    <row r="1099" spans="1:8" ht="15.75">
      <c r="A1099" s="243">
        <v>92</v>
      </c>
      <c r="B1099" s="251">
        <f>B1098+1</f>
        <v>42222</v>
      </c>
      <c r="C1099" s="228" t="s">
        <v>195</v>
      </c>
      <c r="D1099" s="229"/>
      <c r="E1099" s="239" t="s">
        <v>211</v>
      </c>
      <c r="F1099" s="236"/>
      <c r="G1099" s="237" t="s">
        <v>212</v>
      </c>
      <c r="H1099" s="241"/>
    </row>
    <row r="1100" spans="1:8" ht="15.75">
      <c r="A1100" s="243">
        <v>93</v>
      </c>
      <c r="B1100" s="251">
        <f>B1099</f>
        <v>42222</v>
      </c>
      <c r="C1100" s="228" t="s">
        <v>195</v>
      </c>
      <c r="D1100" s="229" t="s">
        <v>2</v>
      </c>
      <c r="E1100" s="244" t="s">
        <v>170</v>
      </c>
      <c r="F1100" s="236">
        <v>1170000</v>
      </c>
      <c r="G1100" s="237" t="s">
        <v>212</v>
      </c>
    </row>
    <row r="1101" spans="1:8" ht="15.75">
      <c r="A1101" s="243">
        <v>94</v>
      </c>
      <c r="B1101" s="251">
        <f t="shared" ref="B1101:B1106" si="106">B1100</f>
        <v>42222</v>
      </c>
      <c r="C1101" s="228" t="s">
        <v>195</v>
      </c>
      <c r="D1101" s="229" t="s">
        <v>2</v>
      </c>
      <c r="E1101" s="244" t="s">
        <v>81</v>
      </c>
      <c r="F1101" s="236">
        <v>207000</v>
      </c>
      <c r="G1101" s="237" t="s">
        <v>212</v>
      </c>
    </row>
    <row r="1102" spans="1:8" ht="15.75">
      <c r="A1102" s="243">
        <v>95</v>
      </c>
      <c r="B1102" s="251">
        <f t="shared" si="106"/>
        <v>42222</v>
      </c>
      <c r="C1102" s="228" t="s">
        <v>195</v>
      </c>
      <c r="D1102" s="229" t="s">
        <v>57</v>
      </c>
      <c r="E1102" s="244" t="s">
        <v>79</v>
      </c>
      <c r="F1102" s="236">
        <v>200000</v>
      </c>
      <c r="G1102" s="237" t="s">
        <v>212</v>
      </c>
    </row>
    <row r="1103" spans="1:8" ht="15.75">
      <c r="A1103" s="243">
        <v>96</v>
      </c>
      <c r="B1103" s="251">
        <f t="shared" si="106"/>
        <v>42222</v>
      </c>
      <c r="C1103" s="228" t="s">
        <v>195</v>
      </c>
      <c r="D1103" s="229" t="s">
        <v>57</v>
      </c>
      <c r="E1103" s="244" t="s">
        <v>87</v>
      </c>
      <c r="F1103" s="236">
        <v>70000</v>
      </c>
      <c r="G1103" s="237" t="s">
        <v>212</v>
      </c>
    </row>
    <row r="1104" spans="1:8" ht="15.75">
      <c r="A1104" s="243">
        <v>97</v>
      </c>
      <c r="B1104" s="251">
        <f t="shared" si="106"/>
        <v>42222</v>
      </c>
      <c r="C1104" s="228" t="s">
        <v>195</v>
      </c>
      <c r="D1104" s="229" t="s">
        <v>3</v>
      </c>
      <c r="E1104" s="244" t="s">
        <v>76</v>
      </c>
      <c r="F1104" s="236">
        <v>300000</v>
      </c>
      <c r="G1104" s="237" t="s">
        <v>212</v>
      </c>
    </row>
    <row r="1105" spans="1:8" ht="15.75">
      <c r="A1105" s="243">
        <v>98</v>
      </c>
      <c r="B1105" s="251">
        <f t="shared" si="106"/>
        <v>42222</v>
      </c>
      <c r="C1105" s="228" t="s">
        <v>195</v>
      </c>
      <c r="D1105" s="229" t="s">
        <v>2</v>
      </c>
      <c r="E1105" s="244" t="s">
        <v>357</v>
      </c>
      <c r="F1105" s="236">
        <v>6345000</v>
      </c>
      <c r="G1105" s="237" t="s">
        <v>212</v>
      </c>
    </row>
    <row r="1106" spans="1:8" ht="15.75">
      <c r="A1106" s="243">
        <v>99</v>
      </c>
      <c r="B1106" s="251">
        <f t="shared" si="106"/>
        <v>42222</v>
      </c>
      <c r="C1106" s="228" t="s">
        <v>195</v>
      </c>
      <c r="D1106" s="229" t="s">
        <v>57</v>
      </c>
      <c r="E1106" s="244" t="s">
        <v>186</v>
      </c>
      <c r="F1106" s="236">
        <v>150000</v>
      </c>
      <c r="G1106" s="237" t="s">
        <v>212</v>
      </c>
    </row>
    <row r="1107" spans="1:8" ht="15.75">
      <c r="A1107" s="243">
        <v>100</v>
      </c>
      <c r="B1107" s="251">
        <f>B1106</f>
        <v>42222</v>
      </c>
      <c r="C1107" s="228" t="s">
        <v>195</v>
      </c>
      <c r="D1107" s="229" t="s">
        <v>57</v>
      </c>
      <c r="E1107" s="244" t="s">
        <v>313</v>
      </c>
      <c r="F1107" s="236">
        <v>200000</v>
      </c>
      <c r="G1107" s="237" t="s">
        <v>212</v>
      </c>
    </row>
    <row r="1108" spans="1:8" ht="15.75">
      <c r="A1108" s="243">
        <v>101</v>
      </c>
      <c r="B1108" s="251">
        <f>B1107+1</f>
        <v>42223</v>
      </c>
      <c r="C1108" s="228" t="s">
        <v>195</v>
      </c>
      <c r="D1108" s="229"/>
      <c r="E1108" s="239" t="s">
        <v>211</v>
      </c>
      <c r="F1108" s="236"/>
      <c r="G1108" s="237" t="s">
        <v>212</v>
      </c>
    </row>
    <row r="1109" spans="1:8" ht="15.75">
      <c r="A1109" s="243">
        <v>102</v>
      </c>
      <c r="B1109" s="251">
        <f>B1108</f>
        <v>42223</v>
      </c>
      <c r="C1109" s="228" t="s">
        <v>195</v>
      </c>
      <c r="D1109" s="229" t="s">
        <v>2</v>
      </c>
      <c r="E1109" s="244" t="s">
        <v>170</v>
      </c>
      <c r="F1109" s="236">
        <v>1170000</v>
      </c>
      <c r="G1109" s="237" t="s">
        <v>212</v>
      </c>
    </row>
    <row r="1110" spans="1:8" ht="15.75">
      <c r="A1110" s="243">
        <v>103</v>
      </c>
      <c r="B1110" s="251">
        <f t="shared" ref="B1110:B1115" si="107">B1109</f>
        <v>42223</v>
      </c>
      <c r="C1110" s="228" t="s">
        <v>195</v>
      </c>
      <c r="D1110" s="229" t="s">
        <v>2</v>
      </c>
      <c r="E1110" s="244" t="s">
        <v>81</v>
      </c>
      <c r="F1110" s="236">
        <v>207000</v>
      </c>
      <c r="G1110" s="237" t="s">
        <v>212</v>
      </c>
      <c r="H1110" s="241"/>
    </row>
    <row r="1111" spans="1:8" ht="15.75">
      <c r="A1111" s="243">
        <v>104</v>
      </c>
      <c r="B1111" s="251">
        <f t="shared" si="107"/>
        <v>42223</v>
      </c>
      <c r="C1111" s="228" t="s">
        <v>195</v>
      </c>
      <c r="D1111" s="229" t="s">
        <v>57</v>
      </c>
      <c r="E1111" s="244" t="s">
        <v>79</v>
      </c>
      <c r="F1111" s="236">
        <v>200000</v>
      </c>
      <c r="G1111" s="237" t="s">
        <v>212</v>
      </c>
      <c r="H1111" s="241"/>
    </row>
    <row r="1112" spans="1:8" ht="15.75">
      <c r="A1112" s="243">
        <v>105</v>
      </c>
      <c r="B1112" s="251">
        <f t="shared" si="107"/>
        <v>42223</v>
      </c>
      <c r="C1112" s="228" t="s">
        <v>195</v>
      </c>
      <c r="D1112" s="229" t="s">
        <v>57</v>
      </c>
      <c r="E1112" s="244" t="s">
        <v>87</v>
      </c>
      <c r="F1112" s="236">
        <v>70000</v>
      </c>
      <c r="G1112" s="237" t="s">
        <v>212</v>
      </c>
    </row>
    <row r="1113" spans="1:8" ht="15.75">
      <c r="A1113" s="243">
        <v>106</v>
      </c>
      <c r="B1113" s="251">
        <f t="shared" si="107"/>
        <v>42223</v>
      </c>
      <c r="C1113" s="228" t="s">
        <v>195</v>
      </c>
      <c r="D1113" s="229" t="s">
        <v>3</v>
      </c>
      <c r="E1113" s="244" t="s">
        <v>76</v>
      </c>
      <c r="F1113" s="236">
        <v>300000</v>
      </c>
      <c r="G1113" s="237" t="s">
        <v>212</v>
      </c>
    </row>
    <row r="1114" spans="1:8" ht="15.75">
      <c r="A1114" s="243">
        <v>107</v>
      </c>
      <c r="B1114" s="251">
        <f t="shared" si="107"/>
        <v>42223</v>
      </c>
      <c r="C1114" s="228" t="s">
        <v>195</v>
      </c>
      <c r="D1114" s="229" t="s">
        <v>2</v>
      </c>
      <c r="E1114" s="244" t="s">
        <v>357</v>
      </c>
      <c r="F1114" s="236">
        <v>6345000</v>
      </c>
      <c r="G1114" s="237" t="s">
        <v>212</v>
      </c>
    </row>
    <row r="1115" spans="1:8" ht="15.75">
      <c r="A1115" s="243">
        <v>108</v>
      </c>
      <c r="B1115" s="251">
        <f t="shared" si="107"/>
        <v>42223</v>
      </c>
      <c r="C1115" s="228" t="s">
        <v>195</v>
      </c>
      <c r="D1115" s="229" t="s">
        <v>57</v>
      </c>
      <c r="E1115" s="244" t="s">
        <v>186</v>
      </c>
      <c r="F1115" s="236">
        <v>150000</v>
      </c>
      <c r="G1115" s="237" t="s">
        <v>212</v>
      </c>
    </row>
    <row r="1116" spans="1:8" ht="15.75">
      <c r="A1116" s="243">
        <v>109</v>
      </c>
      <c r="B1116" s="251">
        <f>B1115</f>
        <v>42223</v>
      </c>
      <c r="C1116" s="228" t="s">
        <v>195</v>
      </c>
      <c r="D1116" s="229" t="s">
        <v>57</v>
      </c>
      <c r="E1116" s="244" t="s">
        <v>313</v>
      </c>
      <c r="F1116" s="236">
        <v>200000</v>
      </c>
      <c r="G1116" s="237" t="s">
        <v>212</v>
      </c>
    </row>
    <row r="1117" spans="1:8" ht="15.75">
      <c r="A1117" s="243">
        <v>110</v>
      </c>
      <c r="B1117" s="251">
        <f>B1116+1</f>
        <v>42224</v>
      </c>
      <c r="C1117" s="228" t="s">
        <v>195</v>
      </c>
      <c r="D1117" s="229"/>
      <c r="E1117" s="239" t="s">
        <v>211</v>
      </c>
      <c r="F1117" s="236"/>
      <c r="G1117" s="237" t="s">
        <v>212</v>
      </c>
    </row>
    <row r="1118" spans="1:8" ht="15.75">
      <c r="A1118" s="243">
        <v>111</v>
      </c>
      <c r="B1118" s="251">
        <f>B1117</f>
        <v>42224</v>
      </c>
      <c r="C1118" s="228" t="s">
        <v>195</v>
      </c>
      <c r="D1118" s="229" t="s">
        <v>2</v>
      </c>
      <c r="E1118" s="244" t="s">
        <v>170</v>
      </c>
      <c r="F1118" s="236">
        <v>1170000</v>
      </c>
      <c r="G1118" s="237" t="s">
        <v>212</v>
      </c>
    </row>
    <row r="1119" spans="1:8" ht="15.75">
      <c r="A1119" s="243">
        <v>112</v>
      </c>
      <c r="B1119" s="251">
        <f t="shared" ref="B1119:B1124" si="108">B1118</f>
        <v>42224</v>
      </c>
      <c r="C1119" s="228" t="s">
        <v>195</v>
      </c>
      <c r="D1119" s="229" t="s">
        <v>2</v>
      </c>
      <c r="E1119" s="244" t="s">
        <v>81</v>
      </c>
      <c r="F1119" s="236">
        <v>207000</v>
      </c>
      <c r="G1119" s="237" t="s">
        <v>212</v>
      </c>
    </row>
    <row r="1120" spans="1:8" ht="15.75">
      <c r="A1120" s="243">
        <v>113</v>
      </c>
      <c r="B1120" s="251">
        <f t="shared" si="108"/>
        <v>42224</v>
      </c>
      <c r="C1120" s="228" t="s">
        <v>195</v>
      </c>
      <c r="D1120" s="229" t="s">
        <v>57</v>
      </c>
      <c r="E1120" s="244" t="s">
        <v>79</v>
      </c>
      <c r="F1120" s="236">
        <v>200000</v>
      </c>
      <c r="G1120" s="237" t="s">
        <v>212</v>
      </c>
    </row>
    <row r="1121" spans="1:9" ht="15.75">
      <c r="A1121" s="243">
        <v>114</v>
      </c>
      <c r="B1121" s="251">
        <f t="shared" si="108"/>
        <v>42224</v>
      </c>
      <c r="C1121" s="228" t="s">
        <v>195</v>
      </c>
      <c r="D1121" s="229" t="s">
        <v>57</v>
      </c>
      <c r="E1121" s="244" t="s">
        <v>87</v>
      </c>
      <c r="F1121" s="236">
        <v>70000</v>
      </c>
      <c r="G1121" s="237" t="s">
        <v>212</v>
      </c>
    </row>
    <row r="1122" spans="1:9" ht="15.75">
      <c r="A1122" s="243">
        <v>115</v>
      </c>
      <c r="B1122" s="251">
        <f t="shared" si="108"/>
        <v>42224</v>
      </c>
      <c r="C1122" s="228" t="s">
        <v>195</v>
      </c>
      <c r="D1122" s="229" t="s">
        <v>3</v>
      </c>
      <c r="E1122" s="244" t="s">
        <v>76</v>
      </c>
      <c r="F1122" s="236">
        <v>300000</v>
      </c>
      <c r="G1122" s="237" t="s">
        <v>212</v>
      </c>
      <c r="H1122" s="241"/>
    </row>
    <row r="1123" spans="1:9" ht="15.75">
      <c r="A1123" s="243">
        <v>116</v>
      </c>
      <c r="B1123" s="251">
        <f t="shared" si="108"/>
        <v>42224</v>
      </c>
      <c r="C1123" s="228" t="s">
        <v>195</v>
      </c>
      <c r="D1123" s="229" t="s">
        <v>2</v>
      </c>
      <c r="E1123" s="244" t="s">
        <v>357</v>
      </c>
      <c r="F1123" s="236">
        <v>6345000</v>
      </c>
      <c r="G1123" s="237" t="s">
        <v>212</v>
      </c>
      <c r="H1123" s="241"/>
    </row>
    <row r="1124" spans="1:9" ht="15.75">
      <c r="A1124" s="243">
        <v>117</v>
      </c>
      <c r="B1124" s="251">
        <f t="shared" si="108"/>
        <v>42224</v>
      </c>
      <c r="C1124" s="228" t="s">
        <v>195</v>
      </c>
      <c r="D1124" s="229" t="s">
        <v>57</v>
      </c>
      <c r="E1124" s="244" t="s">
        <v>186</v>
      </c>
      <c r="F1124" s="236">
        <v>150000</v>
      </c>
      <c r="G1124" s="237" t="s">
        <v>212</v>
      </c>
    </row>
    <row r="1125" spans="1:9" ht="15.75">
      <c r="A1125" s="243">
        <v>118</v>
      </c>
      <c r="B1125" s="251">
        <f>B1124</f>
        <v>42224</v>
      </c>
      <c r="C1125" s="228" t="s">
        <v>195</v>
      </c>
      <c r="D1125" s="229" t="s">
        <v>57</v>
      </c>
      <c r="E1125" s="244" t="s">
        <v>313</v>
      </c>
      <c r="F1125" s="236">
        <v>200000</v>
      </c>
      <c r="G1125" s="237" t="s">
        <v>212</v>
      </c>
    </row>
    <row r="1126" spans="1:9" ht="15.75">
      <c r="A1126" s="243">
        <v>119</v>
      </c>
      <c r="B1126" s="251">
        <f>B1125+1</f>
        <v>42225</v>
      </c>
      <c r="C1126" s="228" t="s">
        <v>195</v>
      </c>
      <c r="D1126" s="229"/>
      <c r="E1126" s="239" t="s">
        <v>211</v>
      </c>
      <c r="F1126" s="236"/>
      <c r="G1126" s="237" t="s">
        <v>212</v>
      </c>
    </row>
    <row r="1127" spans="1:9" ht="15.75">
      <c r="A1127" s="243">
        <v>120</v>
      </c>
      <c r="B1127" s="251">
        <f>B1126</f>
        <v>42225</v>
      </c>
      <c r="C1127" s="228" t="s">
        <v>195</v>
      </c>
      <c r="D1127" s="229" t="s">
        <v>2</v>
      </c>
      <c r="E1127" s="244" t="s">
        <v>170</v>
      </c>
      <c r="F1127" s="236">
        <v>1170000</v>
      </c>
      <c r="G1127" s="237" t="s">
        <v>212</v>
      </c>
    </row>
    <row r="1128" spans="1:9" ht="15.75">
      <c r="A1128" s="243">
        <v>121</v>
      </c>
      <c r="B1128" s="251">
        <f t="shared" ref="B1128:B1133" si="109">B1127</f>
        <v>42225</v>
      </c>
      <c r="C1128" s="228" t="s">
        <v>195</v>
      </c>
      <c r="D1128" s="229" t="s">
        <v>2</v>
      </c>
      <c r="E1128" s="244" t="s">
        <v>81</v>
      </c>
      <c r="F1128" s="236">
        <v>207000</v>
      </c>
      <c r="G1128" s="237" t="s">
        <v>212</v>
      </c>
    </row>
    <row r="1129" spans="1:9" ht="15.75">
      <c r="A1129" s="243">
        <v>122</v>
      </c>
      <c r="B1129" s="251">
        <f t="shared" si="109"/>
        <v>42225</v>
      </c>
      <c r="C1129" s="228" t="s">
        <v>195</v>
      </c>
      <c r="D1129" s="229" t="s">
        <v>57</v>
      </c>
      <c r="E1129" s="244" t="s">
        <v>79</v>
      </c>
      <c r="F1129" s="236">
        <v>200000</v>
      </c>
      <c r="G1129" s="237" t="s">
        <v>212</v>
      </c>
    </row>
    <row r="1130" spans="1:9" ht="15.75">
      <c r="A1130" s="243">
        <v>123</v>
      </c>
      <c r="B1130" s="251">
        <f t="shared" si="109"/>
        <v>42225</v>
      </c>
      <c r="C1130" s="228" t="s">
        <v>195</v>
      </c>
      <c r="D1130" s="229" t="s">
        <v>57</v>
      </c>
      <c r="E1130" s="244" t="s">
        <v>87</v>
      </c>
      <c r="F1130" s="236">
        <v>70000</v>
      </c>
      <c r="G1130" s="237" t="s">
        <v>212</v>
      </c>
    </row>
    <row r="1131" spans="1:9" ht="15.75">
      <c r="A1131" s="243">
        <v>124</v>
      </c>
      <c r="B1131" s="251">
        <f t="shared" si="109"/>
        <v>42225</v>
      </c>
      <c r="C1131" s="228" t="s">
        <v>195</v>
      </c>
      <c r="D1131" s="229" t="s">
        <v>3</v>
      </c>
      <c r="E1131" s="244" t="s">
        <v>76</v>
      </c>
      <c r="F1131" s="236">
        <v>300000</v>
      </c>
      <c r="G1131" s="237" t="s">
        <v>212</v>
      </c>
    </row>
    <row r="1132" spans="1:9" ht="15.75">
      <c r="A1132" s="243">
        <v>125</v>
      </c>
      <c r="B1132" s="251">
        <f t="shared" si="109"/>
        <v>42225</v>
      </c>
      <c r="C1132" s="228" t="s">
        <v>195</v>
      </c>
      <c r="D1132" s="229" t="s">
        <v>2</v>
      </c>
      <c r="E1132" s="244" t="s">
        <v>357</v>
      </c>
      <c r="F1132" s="236">
        <v>6345000</v>
      </c>
      <c r="G1132" s="237" t="s">
        <v>212</v>
      </c>
    </row>
    <row r="1133" spans="1:9" ht="15.75">
      <c r="A1133" s="243">
        <v>126</v>
      </c>
      <c r="B1133" s="251">
        <f t="shared" si="109"/>
        <v>42225</v>
      </c>
      <c r="C1133" s="228" t="s">
        <v>195</v>
      </c>
      <c r="D1133" s="229" t="s">
        <v>57</v>
      </c>
      <c r="E1133" s="244" t="s">
        <v>186</v>
      </c>
      <c r="F1133" s="236">
        <v>150000</v>
      </c>
      <c r="G1133" s="237" t="s">
        <v>212</v>
      </c>
    </row>
    <row r="1134" spans="1:9" ht="15.75">
      <c r="A1134" s="243">
        <v>127</v>
      </c>
      <c r="B1134" s="251">
        <f>B1133</f>
        <v>42225</v>
      </c>
      <c r="C1134" s="228" t="s">
        <v>195</v>
      </c>
      <c r="D1134" s="229" t="s">
        <v>57</v>
      </c>
      <c r="E1134" s="244" t="s">
        <v>313</v>
      </c>
      <c r="F1134" s="236">
        <v>200000</v>
      </c>
      <c r="G1134" s="237" t="s">
        <v>212</v>
      </c>
      <c r="H1134" s="241"/>
    </row>
    <row r="1135" spans="1:9" ht="15.75">
      <c r="A1135" s="243">
        <f t="shared" ref="A1135" si="110">A1134+1</f>
        <v>128</v>
      </c>
      <c r="B1135" s="251">
        <f>B1134</f>
        <v>42225</v>
      </c>
      <c r="C1135" s="228" t="s">
        <v>195</v>
      </c>
      <c r="D1135" s="229" t="s">
        <v>57</v>
      </c>
      <c r="E1135" s="230" t="s">
        <v>226</v>
      </c>
      <c r="F1135" s="236">
        <f>5*35000*14</f>
        <v>2450000</v>
      </c>
      <c r="G1135" s="237" t="s">
        <v>225</v>
      </c>
      <c r="H1135" s="227">
        <v>14</v>
      </c>
    </row>
    <row r="1136" spans="1:9">
      <c r="A1136" s="243"/>
      <c r="B1136" s="240"/>
      <c r="C1136" s="242"/>
      <c r="D1136" s="245"/>
      <c r="E1136" s="230"/>
      <c r="F1136" s="236"/>
      <c r="G1136" s="237"/>
      <c r="I1136" s="269"/>
    </row>
    <row r="1137" spans="1:9" s="269" customFormat="1" ht="15">
      <c r="A1137" s="262"/>
      <c r="B1137" s="263" t="s">
        <v>189</v>
      </c>
      <c r="C1137" s="264">
        <v>42226</v>
      </c>
      <c r="D1137" s="264">
        <f>C1137+13</f>
        <v>42239</v>
      </c>
      <c r="E1137" s="265"/>
      <c r="F1137" s="266">
        <f>SUM(F1138:F1280)</f>
        <v>111071000</v>
      </c>
      <c r="G1137" s="267" t="s">
        <v>251</v>
      </c>
      <c r="H1137" s="268"/>
      <c r="I1137" s="227"/>
    </row>
    <row r="1138" spans="1:9" ht="15.75">
      <c r="A1138" s="243">
        <v>1</v>
      </c>
      <c r="B1138" s="251">
        <f>C1137</f>
        <v>42226</v>
      </c>
      <c r="C1138" s="228" t="s">
        <v>195</v>
      </c>
      <c r="D1138" s="229"/>
      <c r="E1138" s="239" t="s">
        <v>211</v>
      </c>
      <c r="F1138" s="236"/>
      <c r="G1138" s="237" t="s">
        <v>212</v>
      </c>
      <c r="H1138" s="233"/>
    </row>
    <row r="1139" spans="1:9" ht="15.75">
      <c r="A1139" s="243">
        <v>2</v>
      </c>
      <c r="B1139" s="251">
        <f>B1138</f>
        <v>42226</v>
      </c>
      <c r="C1139" s="228" t="s">
        <v>195</v>
      </c>
      <c r="D1139" s="229" t="s">
        <v>2</v>
      </c>
      <c r="E1139" s="244" t="s">
        <v>170</v>
      </c>
      <c r="F1139" s="236">
        <v>1170000</v>
      </c>
      <c r="G1139" s="237" t="s">
        <v>212</v>
      </c>
      <c r="H1139" s="226"/>
    </row>
    <row r="1140" spans="1:9" ht="15.75">
      <c r="A1140" s="243">
        <v>3</v>
      </c>
      <c r="B1140" s="251">
        <f t="shared" ref="B1140:B1145" si="111">B1139</f>
        <v>42226</v>
      </c>
      <c r="C1140" s="228" t="s">
        <v>195</v>
      </c>
      <c r="D1140" s="229" t="s">
        <v>2</v>
      </c>
      <c r="E1140" s="244" t="s">
        <v>81</v>
      </c>
      <c r="F1140" s="236">
        <v>207000</v>
      </c>
      <c r="G1140" s="237" t="s">
        <v>212</v>
      </c>
      <c r="H1140" s="226"/>
    </row>
    <row r="1141" spans="1:9" ht="15.75">
      <c r="A1141" s="243">
        <v>4</v>
      </c>
      <c r="B1141" s="251">
        <f t="shared" si="111"/>
        <v>42226</v>
      </c>
      <c r="C1141" s="228" t="s">
        <v>195</v>
      </c>
      <c r="D1141" s="229" t="s">
        <v>57</v>
      </c>
      <c r="E1141" s="244" t="s">
        <v>79</v>
      </c>
      <c r="F1141" s="236">
        <v>200000</v>
      </c>
      <c r="G1141" s="237" t="s">
        <v>212</v>
      </c>
    </row>
    <row r="1142" spans="1:9" ht="15.75">
      <c r="A1142" s="243">
        <v>5</v>
      </c>
      <c r="B1142" s="251">
        <f t="shared" si="111"/>
        <v>42226</v>
      </c>
      <c r="C1142" s="228" t="s">
        <v>195</v>
      </c>
      <c r="D1142" s="229" t="s">
        <v>57</v>
      </c>
      <c r="E1142" s="244" t="s">
        <v>87</v>
      </c>
      <c r="F1142" s="236">
        <v>70000</v>
      </c>
      <c r="G1142" s="237" t="s">
        <v>212</v>
      </c>
    </row>
    <row r="1143" spans="1:9" ht="15.75">
      <c r="A1143" s="243">
        <v>6</v>
      </c>
      <c r="B1143" s="251">
        <f t="shared" si="111"/>
        <v>42226</v>
      </c>
      <c r="C1143" s="228" t="s">
        <v>195</v>
      </c>
      <c r="D1143" s="229" t="s">
        <v>3</v>
      </c>
      <c r="E1143" s="244" t="s">
        <v>76</v>
      </c>
      <c r="F1143" s="236">
        <v>300000</v>
      </c>
      <c r="G1143" s="237" t="s">
        <v>212</v>
      </c>
    </row>
    <row r="1144" spans="1:9" ht="15.75">
      <c r="A1144" s="243">
        <v>7</v>
      </c>
      <c r="B1144" s="251">
        <f t="shared" si="111"/>
        <v>42226</v>
      </c>
      <c r="C1144" s="228" t="s">
        <v>195</v>
      </c>
      <c r="D1144" s="229" t="s">
        <v>2</v>
      </c>
      <c r="E1144" s="244" t="s">
        <v>357</v>
      </c>
      <c r="F1144" s="236">
        <v>6345000</v>
      </c>
      <c r="G1144" s="237" t="s">
        <v>212</v>
      </c>
    </row>
    <row r="1145" spans="1:9" ht="15.75">
      <c r="A1145" s="243">
        <v>8</v>
      </c>
      <c r="B1145" s="251">
        <f t="shared" si="111"/>
        <v>42226</v>
      </c>
      <c r="C1145" s="228" t="s">
        <v>195</v>
      </c>
      <c r="D1145" s="229" t="s">
        <v>57</v>
      </c>
      <c r="E1145" s="244" t="s">
        <v>186</v>
      </c>
      <c r="F1145" s="236">
        <v>150000</v>
      </c>
      <c r="G1145" s="237" t="s">
        <v>212</v>
      </c>
    </row>
    <row r="1146" spans="1:9" ht="15.75">
      <c r="A1146" s="243">
        <v>9</v>
      </c>
      <c r="B1146" s="251">
        <f>B1145</f>
        <v>42226</v>
      </c>
      <c r="C1146" s="228" t="s">
        <v>195</v>
      </c>
      <c r="D1146" s="229" t="s">
        <v>57</v>
      </c>
      <c r="E1146" s="244" t="s">
        <v>313</v>
      </c>
      <c r="F1146" s="236">
        <v>200000</v>
      </c>
      <c r="G1146" s="237" t="s">
        <v>212</v>
      </c>
    </row>
    <row r="1147" spans="1:9" ht="15.75">
      <c r="A1147" s="243">
        <v>10</v>
      </c>
      <c r="B1147" s="251">
        <f>B1146+1</f>
        <v>42227</v>
      </c>
      <c r="C1147" s="228" t="s">
        <v>195</v>
      </c>
      <c r="D1147" s="229"/>
      <c r="E1147" s="239" t="s">
        <v>211</v>
      </c>
      <c r="F1147" s="236"/>
      <c r="G1147" s="237" t="s">
        <v>212</v>
      </c>
      <c r="H1147" s="241"/>
    </row>
    <row r="1148" spans="1:9" ht="15.75">
      <c r="A1148" s="243">
        <v>11</v>
      </c>
      <c r="B1148" s="251">
        <f>B1147</f>
        <v>42227</v>
      </c>
      <c r="C1148" s="228" t="s">
        <v>195</v>
      </c>
      <c r="D1148" s="229" t="s">
        <v>2</v>
      </c>
      <c r="E1148" s="244" t="s">
        <v>170</v>
      </c>
      <c r="F1148" s="236">
        <v>1170000</v>
      </c>
      <c r="G1148" s="237" t="s">
        <v>212</v>
      </c>
      <c r="H1148" s="241"/>
    </row>
    <row r="1149" spans="1:9" ht="15.75">
      <c r="A1149" s="243">
        <v>12</v>
      </c>
      <c r="B1149" s="251">
        <f t="shared" ref="B1149:B1154" si="112">B1148</f>
        <v>42227</v>
      </c>
      <c r="C1149" s="228" t="s">
        <v>195</v>
      </c>
      <c r="D1149" s="229" t="s">
        <v>2</v>
      </c>
      <c r="E1149" s="244" t="s">
        <v>81</v>
      </c>
      <c r="F1149" s="236">
        <v>207000</v>
      </c>
      <c r="G1149" s="237" t="s">
        <v>212</v>
      </c>
    </row>
    <row r="1150" spans="1:9" ht="15.75">
      <c r="A1150" s="243">
        <v>13</v>
      </c>
      <c r="B1150" s="251">
        <f t="shared" si="112"/>
        <v>42227</v>
      </c>
      <c r="C1150" s="228" t="s">
        <v>195</v>
      </c>
      <c r="D1150" s="229" t="s">
        <v>57</v>
      </c>
      <c r="E1150" s="244" t="s">
        <v>79</v>
      </c>
      <c r="F1150" s="236">
        <v>200000</v>
      </c>
      <c r="G1150" s="237" t="s">
        <v>212</v>
      </c>
    </row>
    <row r="1151" spans="1:9" ht="15.75">
      <c r="A1151" s="243">
        <v>14</v>
      </c>
      <c r="B1151" s="251">
        <f t="shared" si="112"/>
        <v>42227</v>
      </c>
      <c r="C1151" s="228" t="s">
        <v>195</v>
      </c>
      <c r="D1151" s="229" t="s">
        <v>57</v>
      </c>
      <c r="E1151" s="244" t="s">
        <v>87</v>
      </c>
      <c r="F1151" s="236">
        <v>70000</v>
      </c>
      <c r="G1151" s="237" t="s">
        <v>212</v>
      </c>
      <c r="H1151" s="241">
        <f>SUBTOTAL(9,F1151:F1612)</f>
        <v>568337000</v>
      </c>
    </row>
    <row r="1152" spans="1:9" ht="15.75">
      <c r="A1152" s="243">
        <v>15</v>
      </c>
      <c r="B1152" s="251">
        <f t="shared" si="112"/>
        <v>42227</v>
      </c>
      <c r="C1152" s="228" t="s">
        <v>195</v>
      </c>
      <c r="D1152" s="229" t="s">
        <v>3</v>
      </c>
      <c r="E1152" s="244" t="s">
        <v>76</v>
      </c>
      <c r="F1152" s="236">
        <v>300000</v>
      </c>
      <c r="G1152" s="237" t="s">
        <v>212</v>
      </c>
      <c r="H1152" s="241"/>
    </row>
    <row r="1153" spans="1:8" ht="15.75">
      <c r="A1153" s="243">
        <v>16</v>
      </c>
      <c r="B1153" s="251">
        <f t="shared" si="112"/>
        <v>42227</v>
      </c>
      <c r="C1153" s="228" t="s">
        <v>195</v>
      </c>
      <c r="D1153" s="229" t="s">
        <v>2</v>
      </c>
      <c r="E1153" s="244" t="s">
        <v>357</v>
      </c>
      <c r="F1153" s="236">
        <v>6345000</v>
      </c>
      <c r="G1153" s="237" t="s">
        <v>212</v>
      </c>
    </row>
    <row r="1154" spans="1:8" ht="15.75">
      <c r="A1154" s="243">
        <v>17</v>
      </c>
      <c r="B1154" s="251">
        <f t="shared" si="112"/>
        <v>42227</v>
      </c>
      <c r="C1154" s="228" t="s">
        <v>195</v>
      </c>
      <c r="D1154" s="229" t="s">
        <v>57</v>
      </c>
      <c r="E1154" s="244" t="s">
        <v>186</v>
      </c>
      <c r="F1154" s="236">
        <v>150000</v>
      </c>
      <c r="G1154" s="237" t="s">
        <v>212</v>
      </c>
    </row>
    <row r="1155" spans="1:8" ht="15.75">
      <c r="A1155" s="243">
        <v>18</v>
      </c>
      <c r="B1155" s="251">
        <f>B1154</f>
        <v>42227</v>
      </c>
      <c r="C1155" s="228" t="s">
        <v>195</v>
      </c>
      <c r="D1155" s="229" t="s">
        <v>57</v>
      </c>
      <c r="E1155" s="244" t="s">
        <v>313</v>
      </c>
      <c r="F1155" s="236">
        <v>200000</v>
      </c>
      <c r="G1155" s="237" t="s">
        <v>212</v>
      </c>
    </row>
    <row r="1156" spans="1:8" ht="15.75">
      <c r="A1156" s="243">
        <v>19</v>
      </c>
      <c r="B1156" s="251">
        <f>B1155+1</f>
        <v>42228</v>
      </c>
      <c r="C1156" s="228" t="s">
        <v>195</v>
      </c>
      <c r="D1156" s="229"/>
      <c r="E1156" s="239" t="s">
        <v>211</v>
      </c>
      <c r="F1156" s="236"/>
      <c r="G1156" s="237" t="s">
        <v>212</v>
      </c>
      <c r="H1156" s="241"/>
    </row>
    <row r="1157" spans="1:8" ht="15.75">
      <c r="A1157" s="243">
        <v>20</v>
      </c>
      <c r="B1157" s="251">
        <f>B1156</f>
        <v>42228</v>
      </c>
      <c r="C1157" s="228" t="s">
        <v>195</v>
      </c>
      <c r="D1157" s="229" t="s">
        <v>2</v>
      </c>
      <c r="E1157" s="244" t="s">
        <v>170</v>
      </c>
      <c r="F1157" s="236">
        <v>1170000</v>
      </c>
      <c r="G1157" s="237" t="s">
        <v>212</v>
      </c>
    </row>
    <row r="1158" spans="1:8" ht="15.75">
      <c r="A1158" s="243">
        <v>21</v>
      </c>
      <c r="B1158" s="251">
        <f t="shared" ref="B1158:B1163" si="113">B1157</f>
        <v>42228</v>
      </c>
      <c r="C1158" s="228" t="s">
        <v>195</v>
      </c>
      <c r="D1158" s="229" t="s">
        <v>2</v>
      </c>
      <c r="E1158" s="244" t="s">
        <v>81</v>
      </c>
      <c r="F1158" s="236">
        <v>207000</v>
      </c>
      <c r="G1158" s="237" t="s">
        <v>212</v>
      </c>
      <c r="H1158" s="233"/>
    </row>
    <row r="1159" spans="1:8" ht="15.75">
      <c r="A1159" s="243">
        <v>22</v>
      </c>
      <c r="B1159" s="251">
        <f t="shared" si="113"/>
        <v>42228</v>
      </c>
      <c r="C1159" s="228" t="s">
        <v>195</v>
      </c>
      <c r="D1159" s="229" t="s">
        <v>57</v>
      </c>
      <c r="E1159" s="244" t="s">
        <v>79</v>
      </c>
      <c r="F1159" s="236">
        <v>200000</v>
      </c>
      <c r="G1159" s="237" t="s">
        <v>212</v>
      </c>
      <c r="H1159" s="226"/>
    </row>
    <row r="1160" spans="1:8" ht="15.75">
      <c r="A1160" s="243">
        <v>23</v>
      </c>
      <c r="B1160" s="251">
        <f t="shared" si="113"/>
        <v>42228</v>
      </c>
      <c r="C1160" s="228" t="s">
        <v>195</v>
      </c>
      <c r="D1160" s="229" t="s">
        <v>57</v>
      </c>
      <c r="E1160" s="244" t="s">
        <v>87</v>
      </c>
      <c r="F1160" s="236">
        <v>70000</v>
      </c>
      <c r="G1160" s="237" t="s">
        <v>212</v>
      </c>
      <c r="H1160" s="226"/>
    </row>
    <row r="1161" spans="1:8" ht="15.75">
      <c r="A1161" s="243">
        <v>24</v>
      </c>
      <c r="B1161" s="251">
        <f t="shared" si="113"/>
        <v>42228</v>
      </c>
      <c r="C1161" s="228" t="s">
        <v>195</v>
      </c>
      <c r="D1161" s="229" t="s">
        <v>3</v>
      </c>
      <c r="E1161" s="244" t="s">
        <v>76</v>
      </c>
      <c r="F1161" s="236">
        <v>300000</v>
      </c>
      <c r="G1161" s="237" t="s">
        <v>212</v>
      </c>
    </row>
    <row r="1162" spans="1:8" ht="15.75">
      <c r="A1162" s="243">
        <v>25</v>
      </c>
      <c r="B1162" s="251">
        <f t="shared" si="113"/>
        <v>42228</v>
      </c>
      <c r="C1162" s="228" t="s">
        <v>195</v>
      </c>
      <c r="D1162" s="229" t="s">
        <v>2</v>
      </c>
      <c r="E1162" s="244" t="s">
        <v>357</v>
      </c>
      <c r="F1162" s="236">
        <v>6345000</v>
      </c>
      <c r="G1162" s="237" t="s">
        <v>212</v>
      </c>
    </row>
    <row r="1163" spans="1:8" ht="15.75">
      <c r="A1163" s="243">
        <v>26</v>
      </c>
      <c r="B1163" s="251">
        <f t="shared" si="113"/>
        <v>42228</v>
      </c>
      <c r="C1163" s="228" t="s">
        <v>195</v>
      </c>
      <c r="D1163" s="229" t="s">
        <v>57</v>
      </c>
      <c r="E1163" s="244" t="s">
        <v>186</v>
      </c>
      <c r="F1163" s="236">
        <v>150000</v>
      </c>
      <c r="G1163" s="237" t="s">
        <v>212</v>
      </c>
    </row>
    <row r="1164" spans="1:8" ht="15.75">
      <c r="A1164" s="243">
        <v>27</v>
      </c>
      <c r="B1164" s="251">
        <f>B1163</f>
        <v>42228</v>
      </c>
      <c r="C1164" s="228" t="s">
        <v>195</v>
      </c>
      <c r="D1164" s="229" t="s">
        <v>57</v>
      </c>
      <c r="E1164" s="244" t="s">
        <v>313</v>
      </c>
      <c r="F1164" s="236">
        <v>200000</v>
      </c>
      <c r="G1164" s="237" t="s">
        <v>212</v>
      </c>
    </row>
    <row r="1165" spans="1:8" ht="15.75">
      <c r="A1165" s="243">
        <v>28</v>
      </c>
      <c r="B1165" s="251">
        <f>B1164+1</f>
        <v>42229</v>
      </c>
      <c r="C1165" s="228" t="s">
        <v>195</v>
      </c>
      <c r="D1165" s="229"/>
      <c r="E1165" s="239" t="s">
        <v>211</v>
      </c>
      <c r="F1165" s="236"/>
      <c r="G1165" s="237" t="s">
        <v>212</v>
      </c>
    </row>
    <row r="1166" spans="1:8" ht="15.75">
      <c r="A1166" s="243">
        <v>29</v>
      </c>
      <c r="B1166" s="251">
        <f>B1165</f>
        <v>42229</v>
      </c>
      <c r="C1166" s="228" t="s">
        <v>195</v>
      </c>
      <c r="D1166" s="229" t="s">
        <v>2</v>
      </c>
      <c r="E1166" s="244" t="s">
        <v>170</v>
      </c>
      <c r="F1166" s="236">
        <v>1170000</v>
      </c>
      <c r="G1166" s="237" t="s">
        <v>212</v>
      </c>
    </row>
    <row r="1167" spans="1:8" ht="15.75">
      <c r="A1167" s="243">
        <v>30</v>
      </c>
      <c r="B1167" s="251">
        <f t="shared" ref="B1167:B1172" si="114">B1166</f>
        <v>42229</v>
      </c>
      <c r="C1167" s="228" t="s">
        <v>195</v>
      </c>
      <c r="D1167" s="229" t="s">
        <v>2</v>
      </c>
      <c r="E1167" s="244" t="s">
        <v>81</v>
      </c>
      <c r="F1167" s="236">
        <v>207000</v>
      </c>
      <c r="G1167" s="237" t="s">
        <v>212</v>
      </c>
      <c r="H1167" s="241"/>
    </row>
    <row r="1168" spans="1:8" ht="15.75">
      <c r="A1168" s="243">
        <v>31</v>
      </c>
      <c r="B1168" s="251">
        <f t="shared" si="114"/>
        <v>42229</v>
      </c>
      <c r="C1168" s="228" t="s">
        <v>195</v>
      </c>
      <c r="D1168" s="229" t="s">
        <v>57</v>
      </c>
      <c r="E1168" s="244" t="s">
        <v>79</v>
      </c>
      <c r="F1168" s="236">
        <v>200000</v>
      </c>
      <c r="G1168" s="237" t="s">
        <v>212</v>
      </c>
      <c r="H1168" s="241"/>
    </row>
    <row r="1169" spans="1:8" ht="15.75">
      <c r="A1169" s="243">
        <v>32</v>
      </c>
      <c r="B1169" s="251">
        <f t="shared" si="114"/>
        <v>42229</v>
      </c>
      <c r="C1169" s="228" t="s">
        <v>195</v>
      </c>
      <c r="D1169" s="229" t="s">
        <v>57</v>
      </c>
      <c r="E1169" s="244" t="s">
        <v>87</v>
      </c>
      <c r="F1169" s="236">
        <v>70000</v>
      </c>
      <c r="G1169" s="237" t="s">
        <v>212</v>
      </c>
    </row>
    <row r="1170" spans="1:8" ht="15.75">
      <c r="A1170" s="243">
        <v>33</v>
      </c>
      <c r="B1170" s="251">
        <f t="shared" si="114"/>
        <v>42229</v>
      </c>
      <c r="C1170" s="228" t="s">
        <v>195</v>
      </c>
      <c r="D1170" s="229" t="s">
        <v>3</v>
      </c>
      <c r="E1170" s="244" t="s">
        <v>76</v>
      </c>
      <c r="F1170" s="236">
        <v>300000</v>
      </c>
      <c r="G1170" s="237" t="s">
        <v>212</v>
      </c>
    </row>
    <row r="1171" spans="1:8" ht="15.75">
      <c r="A1171" s="243">
        <v>34</v>
      </c>
      <c r="B1171" s="251">
        <f t="shared" si="114"/>
        <v>42229</v>
      </c>
      <c r="C1171" s="228" t="s">
        <v>195</v>
      </c>
      <c r="D1171" s="229" t="s">
        <v>2</v>
      </c>
      <c r="E1171" s="244" t="s">
        <v>357</v>
      </c>
      <c r="F1171" s="236">
        <v>6345000</v>
      </c>
      <c r="G1171" s="237" t="s">
        <v>212</v>
      </c>
    </row>
    <row r="1172" spans="1:8" ht="15.75">
      <c r="A1172" s="243">
        <v>35</v>
      </c>
      <c r="B1172" s="251">
        <f t="shared" si="114"/>
        <v>42229</v>
      </c>
      <c r="C1172" s="228" t="s">
        <v>195</v>
      </c>
      <c r="D1172" s="229" t="s">
        <v>57</v>
      </c>
      <c r="E1172" s="244" t="s">
        <v>186</v>
      </c>
      <c r="F1172" s="236">
        <v>150000</v>
      </c>
      <c r="G1172" s="237" t="s">
        <v>212</v>
      </c>
    </row>
    <row r="1173" spans="1:8" ht="15.75">
      <c r="A1173" s="243">
        <v>36</v>
      </c>
      <c r="B1173" s="251">
        <f>B1172</f>
        <v>42229</v>
      </c>
      <c r="C1173" s="228" t="s">
        <v>195</v>
      </c>
      <c r="D1173" s="229" t="s">
        <v>57</v>
      </c>
      <c r="E1173" s="244" t="s">
        <v>313</v>
      </c>
      <c r="F1173" s="236">
        <v>200000</v>
      </c>
      <c r="G1173" s="237" t="s">
        <v>212</v>
      </c>
    </row>
    <row r="1174" spans="1:8" ht="15.75">
      <c r="A1174" s="243">
        <v>37</v>
      </c>
      <c r="B1174" s="251">
        <f>B1173+1</f>
        <v>42230</v>
      </c>
      <c r="C1174" s="228" t="s">
        <v>195</v>
      </c>
      <c r="D1174" s="229"/>
      <c r="E1174" s="239" t="s">
        <v>211</v>
      </c>
      <c r="F1174" s="236"/>
      <c r="G1174" s="237" t="s">
        <v>212</v>
      </c>
    </row>
    <row r="1175" spans="1:8" ht="15.75">
      <c r="A1175" s="243">
        <v>38</v>
      </c>
      <c r="B1175" s="251">
        <f>B1174</f>
        <v>42230</v>
      </c>
      <c r="C1175" s="228" t="s">
        <v>195</v>
      </c>
      <c r="D1175" s="229" t="s">
        <v>2</v>
      </c>
      <c r="E1175" s="244" t="s">
        <v>170</v>
      </c>
      <c r="F1175" s="236">
        <v>1170000</v>
      </c>
      <c r="G1175" s="237" t="s">
        <v>212</v>
      </c>
    </row>
    <row r="1176" spans="1:8" ht="15.75">
      <c r="A1176" s="243">
        <v>39</v>
      </c>
      <c r="B1176" s="251">
        <f t="shared" ref="B1176:B1181" si="115">B1175</f>
        <v>42230</v>
      </c>
      <c r="C1176" s="228" t="s">
        <v>195</v>
      </c>
      <c r="D1176" s="229" t="s">
        <v>2</v>
      </c>
      <c r="E1176" s="244" t="s">
        <v>81</v>
      </c>
      <c r="F1176" s="236">
        <v>207000</v>
      </c>
      <c r="G1176" s="237" t="s">
        <v>212</v>
      </c>
      <c r="H1176" s="241"/>
    </row>
    <row r="1177" spans="1:8" ht="15.75">
      <c r="A1177" s="243">
        <v>40</v>
      </c>
      <c r="B1177" s="251">
        <f t="shared" si="115"/>
        <v>42230</v>
      </c>
      <c r="C1177" s="228" t="s">
        <v>195</v>
      </c>
      <c r="D1177" s="229" t="s">
        <v>57</v>
      </c>
      <c r="E1177" s="244" t="s">
        <v>79</v>
      </c>
      <c r="F1177" s="236">
        <v>200000</v>
      </c>
      <c r="G1177" s="237" t="s">
        <v>212</v>
      </c>
    </row>
    <row r="1178" spans="1:8" ht="15.75">
      <c r="A1178" s="243">
        <v>41</v>
      </c>
      <c r="B1178" s="251">
        <f t="shared" si="115"/>
        <v>42230</v>
      </c>
      <c r="C1178" s="228" t="s">
        <v>195</v>
      </c>
      <c r="D1178" s="229" t="s">
        <v>57</v>
      </c>
      <c r="E1178" s="244" t="s">
        <v>87</v>
      </c>
      <c r="F1178" s="236">
        <v>70000</v>
      </c>
      <c r="G1178" s="237" t="s">
        <v>212</v>
      </c>
      <c r="H1178" s="233"/>
    </row>
    <row r="1179" spans="1:8" ht="15.75">
      <c r="A1179" s="243">
        <v>42</v>
      </c>
      <c r="B1179" s="251">
        <f t="shared" si="115"/>
        <v>42230</v>
      </c>
      <c r="C1179" s="228" t="s">
        <v>195</v>
      </c>
      <c r="D1179" s="229" t="s">
        <v>3</v>
      </c>
      <c r="E1179" s="244" t="s">
        <v>76</v>
      </c>
      <c r="F1179" s="236">
        <v>300000</v>
      </c>
      <c r="G1179" s="237" t="s">
        <v>212</v>
      </c>
      <c r="H1179" s="226"/>
    </row>
    <row r="1180" spans="1:8" ht="15.75">
      <c r="A1180" s="243">
        <v>43</v>
      </c>
      <c r="B1180" s="251">
        <f t="shared" si="115"/>
        <v>42230</v>
      </c>
      <c r="C1180" s="228" t="s">
        <v>195</v>
      </c>
      <c r="D1180" s="229" t="s">
        <v>2</v>
      </c>
      <c r="E1180" s="244" t="s">
        <v>357</v>
      </c>
      <c r="F1180" s="236">
        <v>6345000</v>
      </c>
      <c r="G1180" s="237" t="s">
        <v>212</v>
      </c>
      <c r="H1180" s="226"/>
    </row>
    <row r="1181" spans="1:8" ht="15.75">
      <c r="A1181" s="243">
        <v>44</v>
      </c>
      <c r="B1181" s="251">
        <f t="shared" si="115"/>
        <v>42230</v>
      </c>
      <c r="C1181" s="228" t="s">
        <v>195</v>
      </c>
      <c r="D1181" s="229" t="s">
        <v>57</v>
      </c>
      <c r="E1181" s="244" t="s">
        <v>186</v>
      </c>
      <c r="F1181" s="236">
        <v>150000</v>
      </c>
      <c r="G1181" s="237" t="s">
        <v>212</v>
      </c>
    </row>
    <row r="1182" spans="1:8" ht="15.75">
      <c r="A1182" s="243">
        <v>45</v>
      </c>
      <c r="B1182" s="251">
        <f>B1181</f>
        <v>42230</v>
      </c>
      <c r="C1182" s="228" t="s">
        <v>195</v>
      </c>
      <c r="D1182" s="229" t="s">
        <v>57</v>
      </c>
      <c r="E1182" s="244" t="s">
        <v>313</v>
      </c>
      <c r="F1182" s="236">
        <v>200000</v>
      </c>
      <c r="G1182" s="237" t="s">
        <v>212</v>
      </c>
    </row>
    <row r="1183" spans="1:8" ht="15.75">
      <c r="A1183" s="243">
        <v>46</v>
      </c>
      <c r="B1183" s="251">
        <f>B1182+1</f>
        <v>42231</v>
      </c>
      <c r="C1183" s="228" t="s">
        <v>195</v>
      </c>
      <c r="D1183" s="229"/>
      <c r="E1183" s="239" t="s">
        <v>211</v>
      </c>
      <c r="F1183" s="236"/>
      <c r="G1183" s="237" t="s">
        <v>212</v>
      </c>
    </row>
    <row r="1184" spans="1:8" ht="15.75">
      <c r="A1184" s="243">
        <v>47</v>
      </c>
      <c r="B1184" s="251">
        <f>B1183</f>
        <v>42231</v>
      </c>
      <c r="C1184" s="228" t="s">
        <v>195</v>
      </c>
      <c r="D1184" s="229" t="s">
        <v>2</v>
      </c>
      <c r="E1184" s="244" t="s">
        <v>170</v>
      </c>
      <c r="F1184" s="236">
        <v>1170000</v>
      </c>
      <c r="G1184" s="237" t="s">
        <v>212</v>
      </c>
    </row>
    <row r="1185" spans="1:8" ht="15.75">
      <c r="A1185" s="243">
        <v>48</v>
      </c>
      <c r="B1185" s="251">
        <f t="shared" ref="B1185:B1190" si="116">B1184</f>
        <v>42231</v>
      </c>
      <c r="C1185" s="228" t="s">
        <v>195</v>
      </c>
      <c r="D1185" s="229" t="s">
        <v>2</v>
      </c>
      <c r="E1185" s="244" t="s">
        <v>81</v>
      </c>
      <c r="F1185" s="236">
        <v>207000</v>
      </c>
      <c r="G1185" s="237" t="s">
        <v>212</v>
      </c>
    </row>
    <row r="1186" spans="1:8" ht="15.75">
      <c r="A1186" s="243">
        <v>49</v>
      </c>
      <c r="B1186" s="251">
        <f t="shared" si="116"/>
        <v>42231</v>
      </c>
      <c r="C1186" s="228" t="s">
        <v>195</v>
      </c>
      <c r="D1186" s="229" t="s">
        <v>57</v>
      </c>
      <c r="E1186" s="244" t="s">
        <v>79</v>
      </c>
      <c r="F1186" s="236">
        <v>200000</v>
      </c>
      <c r="G1186" s="237" t="s">
        <v>212</v>
      </c>
    </row>
    <row r="1187" spans="1:8" ht="15.75">
      <c r="A1187" s="243">
        <v>50</v>
      </c>
      <c r="B1187" s="251">
        <f t="shared" si="116"/>
        <v>42231</v>
      </c>
      <c r="C1187" s="228" t="s">
        <v>195</v>
      </c>
      <c r="D1187" s="229" t="s">
        <v>57</v>
      </c>
      <c r="E1187" s="244" t="s">
        <v>87</v>
      </c>
      <c r="F1187" s="236">
        <v>70000</v>
      </c>
      <c r="G1187" s="237" t="s">
        <v>212</v>
      </c>
      <c r="H1187" s="241"/>
    </row>
    <row r="1188" spans="1:8" ht="15.75">
      <c r="A1188" s="243">
        <v>51</v>
      </c>
      <c r="B1188" s="251">
        <f t="shared" si="116"/>
        <v>42231</v>
      </c>
      <c r="C1188" s="228" t="s">
        <v>195</v>
      </c>
      <c r="D1188" s="229" t="s">
        <v>3</v>
      </c>
      <c r="E1188" s="244" t="s">
        <v>76</v>
      </c>
      <c r="F1188" s="236">
        <v>300000</v>
      </c>
      <c r="G1188" s="237" t="s">
        <v>212</v>
      </c>
      <c r="H1188" s="241"/>
    </row>
    <row r="1189" spans="1:8" ht="15.75">
      <c r="A1189" s="243">
        <v>52</v>
      </c>
      <c r="B1189" s="251">
        <f t="shared" si="116"/>
        <v>42231</v>
      </c>
      <c r="C1189" s="228" t="s">
        <v>195</v>
      </c>
      <c r="D1189" s="229" t="s">
        <v>2</v>
      </c>
      <c r="E1189" s="244" t="s">
        <v>357</v>
      </c>
      <c r="F1189" s="236">
        <v>6345000</v>
      </c>
      <c r="G1189" s="237" t="s">
        <v>212</v>
      </c>
    </row>
    <row r="1190" spans="1:8" ht="15.75">
      <c r="A1190" s="243">
        <v>53</v>
      </c>
      <c r="B1190" s="251">
        <f t="shared" si="116"/>
        <v>42231</v>
      </c>
      <c r="C1190" s="228" t="s">
        <v>195</v>
      </c>
      <c r="D1190" s="229" t="s">
        <v>57</v>
      </c>
      <c r="E1190" s="244" t="s">
        <v>186</v>
      </c>
      <c r="F1190" s="236">
        <v>150000</v>
      </c>
      <c r="G1190" s="237" t="s">
        <v>212</v>
      </c>
    </row>
    <row r="1191" spans="1:8" ht="15.75">
      <c r="A1191" s="243">
        <v>54</v>
      </c>
      <c r="B1191" s="251">
        <f>B1190</f>
        <v>42231</v>
      </c>
      <c r="C1191" s="228" t="s">
        <v>195</v>
      </c>
      <c r="D1191" s="229" t="s">
        <v>57</v>
      </c>
      <c r="E1191" s="244" t="s">
        <v>313</v>
      </c>
      <c r="F1191" s="236">
        <v>200000</v>
      </c>
      <c r="G1191" s="237" t="s">
        <v>212</v>
      </c>
    </row>
    <row r="1192" spans="1:8" ht="15.75">
      <c r="A1192" s="243">
        <v>55</v>
      </c>
      <c r="B1192" s="251">
        <f>B1191+1</f>
        <v>42232</v>
      </c>
      <c r="C1192" s="228" t="s">
        <v>195</v>
      </c>
      <c r="D1192" s="229"/>
      <c r="E1192" s="239" t="s">
        <v>211</v>
      </c>
      <c r="F1192" s="236"/>
      <c r="G1192" s="237" t="s">
        <v>212</v>
      </c>
    </row>
    <row r="1193" spans="1:8" ht="15.75">
      <c r="A1193" s="243">
        <v>56</v>
      </c>
      <c r="B1193" s="251">
        <f>B1192</f>
        <v>42232</v>
      </c>
      <c r="C1193" s="228" t="s">
        <v>195</v>
      </c>
      <c r="D1193" s="229" t="s">
        <v>2</v>
      </c>
      <c r="E1193" s="244" t="s">
        <v>170</v>
      </c>
      <c r="F1193" s="236">
        <v>1170000</v>
      </c>
      <c r="G1193" s="237" t="s">
        <v>212</v>
      </c>
    </row>
    <row r="1194" spans="1:8" ht="15.75">
      <c r="A1194" s="243">
        <v>57</v>
      </c>
      <c r="B1194" s="251">
        <f t="shared" ref="B1194:B1199" si="117">B1193</f>
        <v>42232</v>
      </c>
      <c r="C1194" s="228" t="s">
        <v>195</v>
      </c>
      <c r="D1194" s="229" t="s">
        <v>2</v>
      </c>
      <c r="E1194" s="244" t="s">
        <v>81</v>
      </c>
      <c r="F1194" s="236">
        <v>207000</v>
      </c>
      <c r="G1194" s="237" t="s">
        <v>212</v>
      </c>
    </row>
    <row r="1195" spans="1:8" ht="15.75">
      <c r="A1195" s="243">
        <v>58</v>
      </c>
      <c r="B1195" s="251">
        <f t="shared" si="117"/>
        <v>42232</v>
      </c>
      <c r="C1195" s="228" t="s">
        <v>195</v>
      </c>
      <c r="D1195" s="229" t="s">
        <v>57</v>
      </c>
      <c r="E1195" s="244" t="s">
        <v>79</v>
      </c>
      <c r="F1195" s="236">
        <v>200000</v>
      </c>
      <c r="G1195" s="237" t="s">
        <v>212</v>
      </c>
    </row>
    <row r="1196" spans="1:8" ht="15.75">
      <c r="A1196" s="243">
        <v>59</v>
      </c>
      <c r="B1196" s="251">
        <f t="shared" si="117"/>
        <v>42232</v>
      </c>
      <c r="C1196" s="228" t="s">
        <v>195</v>
      </c>
      <c r="D1196" s="229" t="s">
        <v>57</v>
      </c>
      <c r="E1196" s="244" t="s">
        <v>87</v>
      </c>
      <c r="F1196" s="236">
        <v>70000</v>
      </c>
      <c r="G1196" s="237" t="s">
        <v>212</v>
      </c>
    </row>
    <row r="1197" spans="1:8" ht="15.75">
      <c r="A1197" s="243">
        <v>60</v>
      </c>
      <c r="B1197" s="251">
        <f t="shared" si="117"/>
        <v>42232</v>
      </c>
      <c r="C1197" s="228" t="s">
        <v>195</v>
      </c>
      <c r="D1197" s="229" t="s">
        <v>3</v>
      </c>
      <c r="E1197" s="244" t="s">
        <v>76</v>
      </c>
      <c r="F1197" s="236">
        <v>300000</v>
      </c>
      <c r="G1197" s="237" t="s">
        <v>212</v>
      </c>
      <c r="H1197" s="241"/>
    </row>
    <row r="1198" spans="1:8" ht="15.75">
      <c r="A1198" s="243">
        <v>61</v>
      </c>
      <c r="B1198" s="251">
        <f t="shared" si="117"/>
        <v>42232</v>
      </c>
      <c r="C1198" s="228" t="s">
        <v>195</v>
      </c>
      <c r="D1198" s="229" t="s">
        <v>2</v>
      </c>
      <c r="E1198" s="244" t="s">
        <v>357</v>
      </c>
      <c r="F1198" s="236">
        <v>6345000</v>
      </c>
      <c r="G1198" s="237" t="s">
        <v>212</v>
      </c>
    </row>
    <row r="1199" spans="1:8" ht="15.75">
      <c r="A1199" s="243">
        <v>62</v>
      </c>
      <c r="B1199" s="251">
        <f t="shared" si="117"/>
        <v>42232</v>
      </c>
      <c r="C1199" s="228" t="s">
        <v>195</v>
      </c>
      <c r="D1199" s="229" t="s">
        <v>57</v>
      </c>
      <c r="E1199" s="244" t="s">
        <v>186</v>
      </c>
      <c r="F1199" s="236">
        <v>150000</v>
      </c>
      <c r="G1199" s="237" t="s">
        <v>212</v>
      </c>
    </row>
    <row r="1200" spans="1:8" ht="15.75">
      <c r="A1200" s="243">
        <v>63</v>
      </c>
      <c r="B1200" s="251">
        <f>B1199</f>
        <v>42232</v>
      </c>
      <c r="C1200" s="228" t="s">
        <v>195</v>
      </c>
      <c r="D1200" s="229" t="s">
        <v>57</v>
      </c>
      <c r="E1200" s="244" t="s">
        <v>313</v>
      </c>
      <c r="F1200" s="236">
        <v>200000</v>
      </c>
      <c r="G1200" s="237" t="s">
        <v>212</v>
      </c>
    </row>
    <row r="1201" spans="1:8" ht="15.75">
      <c r="A1201" s="243">
        <v>64</v>
      </c>
      <c r="B1201" s="251">
        <f>B1200+1</f>
        <v>42233</v>
      </c>
      <c r="C1201" s="228" t="s">
        <v>195</v>
      </c>
      <c r="D1201" s="229"/>
      <c r="E1201" s="239" t="s">
        <v>211</v>
      </c>
      <c r="F1201" s="236"/>
      <c r="G1201" s="237" t="s">
        <v>212</v>
      </c>
    </row>
    <row r="1202" spans="1:8" ht="15.75">
      <c r="A1202" s="243">
        <v>65</v>
      </c>
      <c r="B1202" s="251">
        <f>B1201</f>
        <v>42233</v>
      </c>
      <c r="C1202" s="228" t="s">
        <v>195</v>
      </c>
      <c r="D1202" s="229" t="s">
        <v>2</v>
      </c>
      <c r="E1202" s="244" t="s">
        <v>170</v>
      </c>
      <c r="F1202" s="236">
        <v>1170000</v>
      </c>
      <c r="G1202" s="237" t="s">
        <v>212</v>
      </c>
    </row>
    <row r="1203" spans="1:8" ht="15.75">
      <c r="A1203" s="243">
        <v>66</v>
      </c>
      <c r="B1203" s="251">
        <f t="shared" ref="B1203:B1208" si="118">B1202</f>
        <v>42233</v>
      </c>
      <c r="C1203" s="228" t="s">
        <v>195</v>
      </c>
      <c r="D1203" s="229" t="s">
        <v>2</v>
      </c>
      <c r="E1203" s="244" t="s">
        <v>81</v>
      </c>
      <c r="F1203" s="236">
        <v>207000</v>
      </c>
      <c r="G1203" s="237" t="s">
        <v>212</v>
      </c>
    </row>
    <row r="1204" spans="1:8" ht="15.75">
      <c r="A1204" s="243">
        <v>67</v>
      </c>
      <c r="B1204" s="251">
        <f t="shared" si="118"/>
        <v>42233</v>
      </c>
      <c r="C1204" s="228" t="s">
        <v>195</v>
      </c>
      <c r="D1204" s="229" t="s">
        <v>57</v>
      </c>
      <c r="E1204" s="244" t="s">
        <v>79</v>
      </c>
      <c r="F1204" s="236">
        <v>200000</v>
      </c>
      <c r="G1204" s="237" t="s">
        <v>212</v>
      </c>
      <c r="H1204" s="241"/>
    </row>
    <row r="1205" spans="1:8" ht="15.75">
      <c r="A1205" s="243">
        <v>68</v>
      </c>
      <c r="B1205" s="251">
        <f t="shared" si="118"/>
        <v>42233</v>
      </c>
      <c r="C1205" s="228" t="s">
        <v>195</v>
      </c>
      <c r="D1205" s="229" t="s">
        <v>57</v>
      </c>
      <c r="E1205" s="244" t="s">
        <v>87</v>
      </c>
      <c r="F1205" s="236">
        <v>70000</v>
      </c>
      <c r="G1205" s="237" t="s">
        <v>212</v>
      </c>
    </row>
    <row r="1206" spans="1:8" ht="15.75">
      <c r="A1206" s="243">
        <v>69</v>
      </c>
      <c r="B1206" s="251">
        <f t="shared" si="118"/>
        <v>42233</v>
      </c>
      <c r="C1206" s="228" t="s">
        <v>195</v>
      </c>
      <c r="D1206" s="229" t="s">
        <v>3</v>
      </c>
      <c r="E1206" s="244" t="s">
        <v>76</v>
      </c>
      <c r="F1206" s="236">
        <v>300000</v>
      </c>
      <c r="G1206" s="237" t="s">
        <v>212</v>
      </c>
      <c r="H1206" s="233"/>
    </row>
    <row r="1207" spans="1:8" ht="15.75">
      <c r="A1207" s="243">
        <v>70</v>
      </c>
      <c r="B1207" s="251">
        <f t="shared" si="118"/>
        <v>42233</v>
      </c>
      <c r="C1207" s="228" t="s">
        <v>195</v>
      </c>
      <c r="D1207" s="229" t="s">
        <v>2</v>
      </c>
      <c r="E1207" s="244" t="s">
        <v>357</v>
      </c>
      <c r="F1207" s="236">
        <v>6345000</v>
      </c>
      <c r="G1207" s="237" t="s">
        <v>212</v>
      </c>
      <c r="H1207" s="226"/>
    </row>
    <row r="1208" spans="1:8" ht="15.75">
      <c r="A1208" s="243">
        <v>71</v>
      </c>
      <c r="B1208" s="251">
        <f t="shared" si="118"/>
        <v>42233</v>
      </c>
      <c r="C1208" s="228" t="s">
        <v>195</v>
      </c>
      <c r="D1208" s="229" t="s">
        <v>57</v>
      </c>
      <c r="E1208" s="244" t="s">
        <v>186</v>
      </c>
      <c r="F1208" s="236">
        <v>150000</v>
      </c>
      <c r="G1208" s="237" t="s">
        <v>212</v>
      </c>
      <c r="H1208" s="226"/>
    </row>
    <row r="1209" spans="1:8" ht="15.75">
      <c r="A1209" s="243">
        <v>72</v>
      </c>
      <c r="B1209" s="251">
        <f>B1208</f>
        <v>42233</v>
      </c>
      <c r="C1209" s="228" t="s">
        <v>195</v>
      </c>
      <c r="D1209" s="229" t="s">
        <v>57</v>
      </c>
      <c r="E1209" s="244" t="s">
        <v>313</v>
      </c>
      <c r="F1209" s="236">
        <v>200000</v>
      </c>
      <c r="G1209" s="237" t="s">
        <v>212</v>
      </c>
      <c r="H1209" s="279">
        <f>SUBTOTAL(9,F931:F1209)</f>
        <v>561613000</v>
      </c>
    </row>
    <row r="1210" spans="1:8" ht="15.75">
      <c r="A1210" s="243">
        <v>73</v>
      </c>
      <c r="B1210" s="251">
        <f>B1209+1</f>
        <v>42234</v>
      </c>
      <c r="C1210" s="228"/>
      <c r="D1210" s="229"/>
      <c r="E1210" s="239"/>
      <c r="F1210" s="236"/>
      <c r="G1210" s="237"/>
    </row>
    <row r="1211" spans="1:8" ht="15.75">
      <c r="A1211" s="243">
        <v>74</v>
      </c>
      <c r="B1211" s="251">
        <f>B1210</f>
        <v>42234</v>
      </c>
      <c r="C1211" s="228"/>
      <c r="D1211" s="229"/>
      <c r="E1211" s="244"/>
      <c r="F1211" s="236"/>
      <c r="G1211" s="237"/>
    </row>
    <row r="1212" spans="1:8" ht="15.75">
      <c r="A1212" s="243">
        <v>75</v>
      </c>
      <c r="B1212" s="251">
        <f t="shared" ref="B1212:B1217" si="119">B1211</f>
        <v>42234</v>
      </c>
      <c r="C1212" s="228"/>
      <c r="D1212" s="229"/>
      <c r="E1212" s="244"/>
      <c r="F1212" s="236"/>
      <c r="G1212" s="237"/>
    </row>
    <row r="1213" spans="1:8" ht="15.75">
      <c r="A1213" s="243">
        <v>76</v>
      </c>
      <c r="B1213" s="251">
        <f t="shared" si="119"/>
        <v>42234</v>
      </c>
      <c r="C1213" s="228"/>
      <c r="D1213" s="229"/>
      <c r="E1213" s="244"/>
      <c r="F1213" s="236"/>
      <c r="G1213" s="237"/>
    </row>
    <row r="1214" spans="1:8" ht="15.75">
      <c r="A1214" s="243">
        <v>77</v>
      </c>
      <c r="B1214" s="251">
        <f t="shared" si="119"/>
        <v>42234</v>
      </c>
      <c r="C1214" s="228"/>
      <c r="D1214" s="229"/>
      <c r="E1214" s="244"/>
      <c r="F1214" s="236"/>
      <c r="G1214" s="237"/>
    </row>
    <row r="1215" spans="1:8" ht="15.75">
      <c r="A1215" s="243">
        <v>78</v>
      </c>
      <c r="B1215" s="251">
        <f t="shared" si="119"/>
        <v>42234</v>
      </c>
      <c r="C1215" s="228"/>
      <c r="D1215" s="229"/>
      <c r="E1215" s="244"/>
      <c r="F1215" s="236"/>
      <c r="G1215" s="237"/>
      <c r="H1215" s="241"/>
    </row>
    <row r="1216" spans="1:8" ht="15.75">
      <c r="A1216" s="243">
        <v>79</v>
      </c>
      <c r="B1216" s="251">
        <f t="shared" si="119"/>
        <v>42234</v>
      </c>
      <c r="C1216" s="228"/>
      <c r="D1216" s="229"/>
      <c r="E1216" s="244"/>
      <c r="F1216" s="236"/>
      <c r="G1216" s="237"/>
      <c r="H1216" s="241"/>
    </row>
    <row r="1217" spans="1:8" ht="15.75">
      <c r="A1217" s="243">
        <v>80</v>
      </c>
      <c r="B1217" s="251">
        <f t="shared" si="119"/>
        <v>42234</v>
      </c>
      <c r="C1217" s="228"/>
      <c r="D1217" s="229"/>
      <c r="E1217" s="244"/>
      <c r="F1217" s="236"/>
      <c r="G1217" s="237"/>
    </row>
    <row r="1218" spans="1:8" ht="15.75">
      <c r="A1218" s="243">
        <v>81</v>
      </c>
      <c r="B1218" s="251">
        <f>B1217</f>
        <v>42234</v>
      </c>
      <c r="C1218" s="228"/>
      <c r="D1218" s="229"/>
      <c r="E1218" s="244"/>
      <c r="F1218" s="236"/>
      <c r="G1218" s="237"/>
    </row>
    <row r="1219" spans="1:8" ht="15.75">
      <c r="A1219" s="243"/>
      <c r="B1219" s="251">
        <f>B1218</f>
        <v>42234</v>
      </c>
      <c r="C1219" s="228" t="str">
        <f>C1220</f>
        <v>P-5E</v>
      </c>
      <c r="D1219" s="229" t="s">
        <v>5</v>
      </c>
      <c r="E1219" s="244" t="str">
        <f>Budget!B15</f>
        <v>Mobilisasi Paving Set 3 unit x 500.000</v>
      </c>
      <c r="F1219" s="236">
        <f>Budget!G15</f>
        <v>1500000</v>
      </c>
      <c r="G1219" s="237" t="s">
        <v>5</v>
      </c>
    </row>
    <row r="1220" spans="1:8" ht="15.75">
      <c r="A1220" s="243">
        <v>82</v>
      </c>
      <c r="B1220" s="251">
        <f>B1218+1</f>
        <v>42235</v>
      </c>
      <c r="C1220" s="228" t="s">
        <v>195</v>
      </c>
      <c r="D1220" s="229"/>
      <c r="E1220" s="239" t="s">
        <v>106</v>
      </c>
      <c r="F1220" s="236"/>
      <c r="G1220" s="237" t="s">
        <v>213</v>
      </c>
    </row>
    <row r="1221" spans="1:8" ht="15.75">
      <c r="A1221" s="243">
        <v>83</v>
      </c>
      <c r="B1221" s="251">
        <f>B1220</f>
        <v>42235</v>
      </c>
      <c r="C1221" s="228" t="s">
        <v>195</v>
      </c>
      <c r="D1221" s="229" t="s">
        <v>2</v>
      </c>
      <c r="E1221" s="244" t="s">
        <v>95</v>
      </c>
      <c r="F1221" s="236">
        <f>Budget!G156/13</f>
        <v>1800000</v>
      </c>
      <c r="G1221" s="237" t="s">
        <v>213</v>
      </c>
    </row>
    <row r="1222" spans="1:8" ht="15.75">
      <c r="A1222" s="243">
        <v>84</v>
      </c>
      <c r="B1222" s="251">
        <f t="shared" ref="B1222:B1231" si="120">B1221</f>
        <v>42235</v>
      </c>
      <c r="C1222" s="228" t="s">
        <v>195</v>
      </c>
      <c r="D1222" s="229" t="s">
        <v>2</v>
      </c>
      <c r="E1222" s="244" t="s">
        <v>102</v>
      </c>
      <c r="F1222" s="236">
        <f>Budget!G157/13</f>
        <v>300000</v>
      </c>
      <c r="G1222" s="237" t="s">
        <v>213</v>
      </c>
    </row>
    <row r="1223" spans="1:8" ht="15.75">
      <c r="A1223" s="243">
        <v>85</v>
      </c>
      <c r="B1223" s="251">
        <f t="shared" si="120"/>
        <v>42235</v>
      </c>
      <c r="C1223" s="228" t="s">
        <v>195</v>
      </c>
      <c r="D1223" s="229" t="s">
        <v>3</v>
      </c>
      <c r="E1223" s="244" t="s">
        <v>79</v>
      </c>
      <c r="F1223" s="236">
        <f>Budget!G158/13</f>
        <v>200000</v>
      </c>
      <c r="G1223" s="237" t="s">
        <v>213</v>
      </c>
    </row>
    <row r="1224" spans="1:8" ht="15.75">
      <c r="A1224" s="243">
        <v>86</v>
      </c>
      <c r="B1224" s="251">
        <f t="shared" si="120"/>
        <v>42235</v>
      </c>
      <c r="C1224" s="228" t="s">
        <v>195</v>
      </c>
      <c r="D1224" s="229" t="s">
        <v>57</v>
      </c>
      <c r="E1224" s="244" t="s">
        <v>99</v>
      </c>
      <c r="F1224" s="236">
        <f>Budget!G162/13</f>
        <v>140000</v>
      </c>
      <c r="G1224" s="237" t="s">
        <v>213</v>
      </c>
    </row>
    <row r="1225" spans="1:8" ht="15.75">
      <c r="A1225" s="243">
        <v>87</v>
      </c>
      <c r="B1225" s="251">
        <f t="shared" si="120"/>
        <v>42235</v>
      </c>
      <c r="C1225" s="228" t="s">
        <v>195</v>
      </c>
      <c r="D1225" s="229" t="s">
        <v>3</v>
      </c>
      <c r="E1225" s="244" t="s">
        <v>171</v>
      </c>
      <c r="F1225" s="236">
        <f>[41]Budget!$G$187/11</f>
        <v>1000000</v>
      </c>
      <c r="G1225" s="237" t="s">
        <v>213</v>
      </c>
      <c r="H1225" s="241"/>
    </row>
    <row r="1226" spans="1:8" ht="15.75">
      <c r="A1226" s="243">
        <v>88</v>
      </c>
      <c r="B1226" s="251">
        <f t="shared" si="120"/>
        <v>42235</v>
      </c>
      <c r="C1226" s="228" t="s">
        <v>195</v>
      </c>
      <c r="D1226" s="229" t="s">
        <v>57</v>
      </c>
      <c r="E1226" s="244" t="s">
        <v>357</v>
      </c>
      <c r="F1226" s="236">
        <f>Budget!G164/13</f>
        <v>3240000</v>
      </c>
      <c r="G1226" s="237" t="s">
        <v>213</v>
      </c>
    </row>
    <row r="1227" spans="1:8" ht="15.75">
      <c r="A1227" s="243">
        <v>89</v>
      </c>
      <c r="B1227" s="251">
        <f t="shared" si="120"/>
        <v>42235</v>
      </c>
      <c r="C1227" s="228" t="s">
        <v>195</v>
      </c>
      <c r="D1227" s="229" t="s">
        <v>2</v>
      </c>
      <c r="E1227" s="244" t="s">
        <v>186</v>
      </c>
      <c r="F1227" s="236">
        <f>Budget!G165/Budget!K154</f>
        <v>150000</v>
      </c>
      <c r="G1227" s="237" t="s">
        <v>213</v>
      </c>
    </row>
    <row r="1228" spans="1:8" ht="15.75">
      <c r="A1228" s="243">
        <v>90</v>
      </c>
      <c r="B1228" s="251">
        <f t="shared" si="120"/>
        <v>42235</v>
      </c>
      <c r="C1228" s="228" t="s">
        <v>195</v>
      </c>
      <c r="D1228" s="229"/>
      <c r="E1228" s="239" t="s">
        <v>109</v>
      </c>
      <c r="F1228" s="236"/>
      <c r="G1228" s="237" t="s">
        <v>214</v>
      </c>
    </row>
    <row r="1229" spans="1:8" ht="15.75">
      <c r="A1229" s="243">
        <v>91</v>
      </c>
      <c r="B1229" s="251">
        <f t="shared" si="120"/>
        <v>42235</v>
      </c>
      <c r="C1229" s="228" t="s">
        <v>195</v>
      </c>
      <c r="D1229" s="229" t="s">
        <v>2</v>
      </c>
      <c r="E1229" s="244" t="s">
        <v>113</v>
      </c>
      <c r="F1229" s="236">
        <f>Budget!G175/13</f>
        <v>490000</v>
      </c>
      <c r="G1229" s="237" t="s">
        <v>214</v>
      </c>
    </row>
    <row r="1230" spans="1:8" ht="15.75">
      <c r="A1230" s="243">
        <v>92</v>
      </c>
      <c r="B1230" s="251">
        <f t="shared" si="120"/>
        <v>42235</v>
      </c>
      <c r="C1230" s="228" t="s">
        <v>195</v>
      </c>
      <c r="D1230" s="229" t="s">
        <v>2</v>
      </c>
      <c r="E1230" s="244" t="s">
        <v>114</v>
      </c>
      <c r="F1230" s="236">
        <f>Budget!G176/13</f>
        <v>207000</v>
      </c>
      <c r="G1230" s="237" t="s">
        <v>214</v>
      </c>
    </row>
    <row r="1231" spans="1:8" ht="15.75">
      <c r="A1231" s="243">
        <v>93</v>
      </c>
      <c r="B1231" s="251">
        <f t="shared" si="120"/>
        <v>42235</v>
      </c>
      <c r="C1231" s="228" t="s">
        <v>195</v>
      </c>
      <c r="D1231" s="229" t="s">
        <v>3</v>
      </c>
      <c r="E1231" s="244" t="s">
        <v>115</v>
      </c>
      <c r="F1231" s="236">
        <f>Budget!G177/13</f>
        <v>70000</v>
      </c>
      <c r="G1231" s="237" t="s">
        <v>214</v>
      </c>
    </row>
    <row r="1232" spans="1:8" ht="15.75">
      <c r="A1232" s="243">
        <v>94</v>
      </c>
      <c r="B1232" s="251">
        <f>B1231+1</f>
        <v>42236</v>
      </c>
      <c r="C1232" s="228" t="s">
        <v>195</v>
      </c>
      <c r="D1232" s="229"/>
      <c r="E1232" s="239" t="s">
        <v>106</v>
      </c>
      <c r="F1232" s="236"/>
      <c r="G1232" s="237" t="s">
        <v>213</v>
      </c>
    </row>
    <row r="1233" spans="1:8" ht="15.75">
      <c r="A1233" s="243">
        <v>95</v>
      </c>
      <c r="B1233" s="251">
        <f>B1232</f>
        <v>42236</v>
      </c>
      <c r="C1233" s="228" t="s">
        <v>195</v>
      </c>
      <c r="D1233" s="229" t="s">
        <v>2</v>
      </c>
      <c r="E1233" s="244" t="s">
        <v>95</v>
      </c>
      <c r="F1233" s="236">
        <v>1800000</v>
      </c>
      <c r="G1233" s="237" t="s">
        <v>213</v>
      </c>
      <c r="H1233" s="241"/>
    </row>
    <row r="1234" spans="1:8" ht="15.75">
      <c r="A1234" s="243">
        <v>96</v>
      </c>
      <c r="B1234" s="251">
        <f t="shared" ref="B1234:B1243" si="121">B1233</f>
        <v>42236</v>
      </c>
      <c r="C1234" s="228" t="s">
        <v>195</v>
      </c>
      <c r="D1234" s="229" t="s">
        <v>2</v>
      </c>
      <c r="E1234" s="244" t="s">
        <v>102</v>
      </c>
      <c r="F1234" s="236">
        <v>300000</v>
      </c>
      <c r="G1234" s="237" t="s">
        <v>213</v>
      </c>
    </row>
    <row r="1235" spans="1:8" ht="15.75">
      <c r="A1235" s="243">
        <v>97</v>
      </c>
      <c r="B1235" s="251">
        <f t="shared" si="121"/>
        <v>42236</v>
      </c>
      <c r="C1235" s="228" t="s">
        <v>195</v>
      </c>
      <c r="D1235" s="229" t="s">
        <v>3</v>
      </c>
      <c r="E1235" s="244" t="s">
        <v>79</v>
      </c>
      <c r="F1235" s="236">
        <v>200000</v>
      </c>
      <c r="G1235" s="237" t="s">
        <v>213</v>
      </c>
    </row>
    <row r="1236" spans="1:8" ht="15.75">
      <c r="A1236" s="243">
        <v>98</v>
      </c>
      <c r="B1236" s="251">
        <f t="shared" si="121"/>
        <v>42236</v>
      </c>
      <c r="C1236" s="228" t="s">
        <v>195</v>
      </c>
      <c r="D1236" s="229" t="s">
        <v>57</v>
      </c>
      <c r="E1236" s="244" t="s">
        <v>99</v>
      </c>
      <c r="F1236" s="236">
        <v>140000</v>
      </c>
      <c r="G1236" s="237" t="s">
        <v>213</v>
      </c>
    </row>
    <row r="1237" spans="1:8" ht="15.75">
      <c r="A1237" s="243">
        <v>99</v>
      </c>
      <c r="B1237" s="251">
        <f t="shared" si="121"/>
        <v>42236</v>
      </c>
      <c r="C1237" s="228" t="s">
        <v>195</v>
      </c>
      <c r="D1237" s="229" t="s">
        <v>3</v>
      </c>
      <c r="E1237" s="244" t="s">
        <v>171</v>
      </c>
      <c r="F1237" s="236">
        <v>1000000</v>
      </c>
      <c r="G1237" s="237" t="s">
        <v>213</v>
      </c>
    </row>
    <row r="1238" spans="1:8" ht="15.75">
      <c r="A1238" s="243">
        <v>100</v>
      </c>
      <c r="B1238" s="251">
        <f t="shared" si="121"/>
        <v>42236</v>
      </c>
      <c r="C1238" s="228" t="s">
        <v>195</v>
      </c>
      <c r="D1238" s="229" t="s">
        <v>57</v>
      </c>
      <c r="E1238" s="244" t="s">
        <v>357</v>
      </c>
      <c r="F1238" s="236">
        <v>3240000</v>
      </c>
      <c r="G1238" s="237" t="s">
        <v>213</v>
      </c>
    </row>
    <row r="1239" spans="1:8" ht="15.75">
      <c r="A1239" s="243">
        <v>101</v>
      </c>
      <c r="B1239" s="251">
        <f t="shared" si="121"/>
        <v>42236</v>
      </c>
      <c r="C1239" s="228" t="s">
        <v>195</v>
      </c>
      <c r="D1239" s="229" t="s">
        <v>2</v>
      </c>
      <c r="E1239" s="244" t="s">
        <v>186</v>
      </c>
      <c r="F1239" s="236">
        <v>150000</v>
      </c>
      <c r="G1239" s="237" t="s">
        <v>213</v>
      </c>
    </row>
    <row r="1240" spans="1:8" ht="15.75">
      <c r="A1240" s="243">
        <v>102</v>
      </c>
      <c r="B1240" s="251">
        <f t="shared" si="121"/>
        <v>42236</v>
      </c>
      <c r="C1240" s="228" t="s">
        <v>195</v>
      </c>
      <c r="D1240" s="229"/>
      <c r="E1240" s="239" t="s">
        <v>109</v>
      </c>
      <c r="F1240" s="236"/>
      <c r="G1240" s="237" t="s">
        <v>214</v>
      </c>
    </row>
    <row r="1241" spans="1:8" ht="15.75">
      <c r="A1241" s="243">
        <v>103</v>
      </c>
      <c r="B1241" s="251">
        <f t="shared" si="121"/>
        <v>42236</v>
      </c>
      <c r="C1241" s="228" t="s">
        <v>195</v>
      </c>
      <c r="D1241" s="229" t="s">
        <v>2</v>
      </c>
      <c r="E1241" s="244" t="s">
        <v>113</v>
      </c>
      <c r="F1241" s="236">
        <v>490000</v>
      </c>
      <c r="G1241" s="237" t="s">
        <v>214</v>
      </c>
      <c r="H1241" s="241"/>
    </row>
    <row r="1242" spans="1:8" ht="15.75">
      <c r="A1242" s="243">
        <v>104</v>
      </c>
      <c r="B1242" s="251">
        <f t="shared" si="121"/>
        <v>42236</v>
      </c>
      <c r="C1242" s="228" t="s">
        <v>195</v>
      </c>
      <c r="D1242" s="229" t="s">
        <v>2</v>
      </c>
      <c r="E1242" s="244" t="s">
        <v>114</v>
      </c>
      <c r="F1242" s="236">
        <v>207000</v>
      </c>
      <c r="G1242" s="237" t="s">
        <v>214</v>
      </c>
    </row>
    <row r="1243" spans="1:8" ht="15.75">
      <c r="A1243" s="243">
        <v>105</v>
      </c>
      <c r="B1243" s="251">
        <f t="shared" si="121"/>
        <v>42236</v>
      </c>
      <c r="C1243" s="228" t="s">
        <v>195</v>
      </c>
      <c r="D1243" s="229" t="s">
        <v>3</v>
      </c>
      <c r="E1243" s="244" t="s">
        <v>115</v>
      </c>
      <c r="F1243" s="236">
        <v>70000</v>
      </c>
      <c r="G1243" s="237" t="s">
        <v>214</v>
      </c>
    </row>
    <row r="1244" spans="1:8" ht="15.75">
      <c r="A1244" s="243">
        <v>106</v>
      </c>
      <c r="B1244" s="251">
        <f>B1243+1</f>
        <v>42237</v>
      </c>
      <c r="C1244" s="228" t="s">
        <v>195</v>
      </c>
      <c r="D1244" s="229"/>
      <c r="E1244" s="239" t="s">
        <v>106</v>
      </c>
      <c r="F1244" s="236"/>
      <c r="G1244" s="237" t="s">
        <v>213</v>
      </c>
    </row>
    <row r="1245" spans="1:8" ht="15.75">
      <c r="A1245" s="243">
        <v>107</v>
      </c>
      <c r="B1245" s="251">
        <f>B1244</f>
        <v>42237</v>
      </c>
      <c r="C1245" s="228" t="s">
        <v>195</v>
      </c>
      <c r="D1245" s="229" t="s">
        <v>2</v>
      </c>
      <c r="E1245" s="244" t="s">
        <v>95</v>
      </c>
      <c r="F1245" s="236">
        <v>1800000</v>
      </c>
      <c r="G1245" s="237" t="s">
        <v>213</v>
      </c>
    </row>
    <row r="1246" spans="1:8" ht="15.75">
      <c r="A1246" s="243">
        <v>108</v>
      </c>
      <c r="B1246" s="251">
        <f t="shared" ref="B1246:B1255" si="122">B1245</f>
        <v>42237</v>
      </c>
      <c r="C1246" s="228" t="s">
        <v>195</v>
      </c>
      <c r="D1246" s="229" t="s">
        <v>2</v>
      </c>
      <c r="E1246" s="244" t="s">
        <v>102</v>
      </c>
      <c r="F1246" s="236">
        <v>300000</v>
      </c>
      <c r="G1246" s="237" t="s">
        <v>213</v>
      </c>
    </row>
    <row r="1247" spans="1:8" ht="15.75">
      <c r="A1247" s="243">
        <v>109</v>
      </c>
      <c r="B1247" s="251">
        <f t="shared" si="122"/>
        <v>42237</v>
      </c>
      <c r="C1247" s="228" t="s">
        <v>195</v>
      </c>
      <c r="D1247" s="229" t="s">
        <v>3</v>
      </c>
      <c r="E1247" s="244" t="s">
        <v>79</v>
      </c>
      <c r="F1247" s="236">
        <v>200000</v>
      </c>
      <c r="G1247" s="237" t="s">
        <v>213</v>
      </c>
    </row>
    <row r="1248" spans="1:8" ht="15.75">
      <c r="A1248" s="243">
        <v>110</v>
      </c>
      <c r="B1248" s="251">
        <f t="shared" si="122"/>
        <v>42237</v>
      </c>
      <c r="C1248" s="228" t="s">
        <v>195</v>
      </c>
      <c r="D1248" s="229" t="s">
        <v>57</v>
      </c>
      <c r="E1248" s="244" t="s">
        <v>99</v>
      </c>
      <c r="F1248" s="236">
        <v>140000</v>
      </c>
      <c r="G1248" s="237" t="s">
        <v>213</v>
      </c>
    </row>
    <row r="1249" spans="1:8" ht="15.75">
      <c r="A1249" s="243">
        <v>111</v>
      </c>
      <c r="B1249" s="251">
        <f t="shared" si="122"/>
        <v>42237</v>
      </c>
      <c r="C1249" s="228" t="s">
        <v>195</v>
      </c>
      <c r="D1249" s="229" t="s">
        <v>3</v>
      </c>
      <c r="E1249" s="244" t="s">
        <v>171</v>
      </c>
      <c r="F1249" s="236">
        <v>1000000</v>
      </c>
      <c r="G1249" s="237" t="s">
        <v>213</v>
      </c>
    </row>
    <row r="1250" spans="1:8" ht="15.75">
      <c r="A1250" s="243">
        <v>112</v>
      </c>
      <c r="B1250" s="251">
        <f t="shared" si="122"/>
        <v>42237</v>
      </c>
      <c r="C1250" s="228" t="s">
        <v>195</v>
      </c>
      <c r="D1250" s="229" t="s">
        <v>57</v>
      </c>
      <c r="E1250" s="244" t="s">
        <v>357</v>
      </c>
      <c r="F1250" s="236">
        <v>3240000</v>
      </c>
      <c r="G1250" s="237" t="s">
        <v>213</v>
      </c>
      <c r="H1250" s="241"/>
    </row>
    <row r="1251" spans="1:8" ht="15.75">
      <c r="A1251" s="243">
        <v>113</v>
      </c>
      <c r="B1251" s="251">
        <f t="shared" si="122"/>
        <v>42237</v>
      </c>
      <c r="C1251" s="228" t="s">
        <v>195</v>
      </c>
      <c r="D1251" s="229" t="s">
        <v>2</v>
      </c>
      <c r="E1251" s="244" t="s">
        <v>186</v>
      </c>
      <c r="F1251" s="236">
        <v>150000</v>
      </c>
      <c r="G1251" s="237" t="s">
        <v>213</v>
      </c>
    </row>
    <row r="1252" spans="1:8" ht="15.75">
      <c r="A1252" s="243">
        <v>114</v>
      </c>
      <c r="B1252" s="251">
        <f t="shared" si="122"/>
        <v>42237</v>
      </c>
      <c r="C1252" s="228" t="s">
        <v>195</v>
      </c>
      <c r="D1252" s="229"/>
      <c r="E1252" s="239" t="s">
        <v>109</v>
      </c>
      <c r="F1252" s="236"/>
      <c r="G1252" s="237" t="s">
        <v>214</v>
      </c>
    </row>
    <row r="1253" spans="1:8" ht="15.75">
      <c r="A1253" s="243">
        <v>115</v>
      </c>
      <c r="B1253" s="251">
        <f t="shared" si="122"/>
        <v>42237</v>
      </c>
      <c r="C1253" s="228" t="s">
        <v>195</v>
      </c>
      <c r="D1253" s="229" t="s">
        <v>2</v>
      </c>
      <c r="E1253" s="244" t="s">
        <v>113</v>
      </c>
      <c r="F1253" s="236">
        <v>490000</v>
      </c>
      <c r="G1253" s="237" t="s">
        <v>214</v>
      </c>
    </row>
    <row r="1254" spans="1:8" ht="15.75">
      <c r="A1254" s="243">
        <v>116</v>
      </c>
      <c r="B1254" s="251">
        <f t="shared" si="122"/>
        <v>42237</v>
      </c>
      <c r="C1254" s="228" t="s">
        <v>195</v>
      </c>
      <c r="D1254" s="229" t="s">
        <v>2</v>
      </c>
      <c r="E1254" s="244" t="s">
        <v>114</v>
      </c>
      <c r="F1254" s="236">
        <v>207000</v>
      </c>
      <c r="G1254" s="237" t="s">
        <v>214</v>
      </c>
    </row>
    <row r="1255" spans="1:8" ht="15.75">
      <c r="A1255" s="243">
        <v>117</v>
      </c>
      <c r="B1255" s="251">
        <f t="shared" si="122"/>
        <v>42237</v>
      </c>
      <c r="C1255" s="228" t="s">
        <v>195</v>
      </c>
      <c r="D1255" s="229" t="s">
        <v>3</v>
      </c>
      <c r="E1255" s="244" t="s">
        <v>115</v>
      </c>
      <c r="F1255" s="236">
        <v>70000</v>
      </c>
      <c r="G1255" s="237" t="s">
        <v>214</v>
      </c>
    </row>
    <row r="1256" spans="1:8" ht="15.75">
      <c r="A1256" s="243">
        <v>118</v>
      </c>
      <c r="B1256" s="251">
        <f>B1255+1</f>
        <v>42238</v>
      </c>
      <c r="C1256" s="228" t="s">
        <v>195</v>
      </c>
      <c r="D1256" s="229"/>
      <c r="E1256" s="239" t="s">
        <v>106</v>
      </c>
      <c r="F1256" s="236"/>
      <c r="G1256" s="237" t="s">
        <v>213</v>
      </c>
    </row>
    <row r="1257" spans="1:8" ht="15.75">
      <c r="A1257" s="243">
        <v>119</v>
      </c>
      <c r="B1257" s="251">
        <f>B1256</f>
        <v>42238</v>
      </c>
      <c r="C1257" s="228" t="s">
        <v>195</v>
      </c>
      <c r="D1257" s="229" t="s">
        <v>2</v>
      </c>
      <c r="E1257" s="244" t="s">
        <v>95</v>
      </c>
      <c r="F1257" s="236">
        <v>1800000</v>
      </c>
      <c r="G1257" s="237" t="s">
        <v>213</v>
      </c>
    </row>
    <row r="1258" spans="1:8" ht="15.75">
      <c r="A1258" s="243">
        <v>120</v>
      </c>
      <c r="B1258" s="251">
        <f t="shared" ref="B1258:B1267" si="123">B1257</f>
        <v>42238</v>
      </c>
      <c r="C1258" s="228" t="s">
        <v>195</v>
      </c>
      <c r="D1258" s="229" t="s">
        <v>2</v>
      </c>
      <c r="E1258" s="244" t="s">
        <v>102</v>
      </c>
      <c r="F1258" s="236">
        <v>300000</v>
      </c>
      <c r="G1258" s="237" t="s">
        <v>213</v>
      </c>
      <c r="H1258" s="241"/>
    </row>
    <row r="1259" spans="1:8" ht="15.75">
      <c r="A1259" s="243">
        <v>121</v>
      </c>
      <c r="B1259" s="251">
        <f t="shared" si="123"/>
        <v>42238</v>
      </c>
      <c r="C1259" s="228" t="s">
        <v>195</v>
      </c>
      <c r="D1259" s="229" t="s">
        <v>3</v>
      </c>
      <c r="E1259" s="244" t="s">
        <v>79</v>
      </c>
      <c r="F1259" s="236">
        <v>200000</v>
      </c>
      <c r="G1259" s="237" t="s">
        <v>213</v>
      </c>
    </row>
    <row r="1260" spans="1:8" ht="15.75">
      <c r="A1260" s="243">
        <v>122</v>
      </c>
      <c r="B1260" s="251">
        <f t="shared" si="123"/>
        <v>42238</v>
      </c>
      <c r="C1260" s="228" t="s">
        <v>195</v>
      </c>
      <c r="D1260" s="229" t="s">
        <v>57</v>
      </c>
      <c r="E1260" s="244" t="s">
        <v>99</v>
      </c>
      <c r="F1260" s="236">
        <v>140000</v>
      </c>
      <c r="G1260" s="237" t="s">
        <v>213</v>
      </c>
    </row>
    <row r="1261" spans="1:8" ht="15.75">
      <c r="A1261" s="243">
        <v>123</v>
      </c>
      <c r="B1261" s="251">
        <f t="shared" si="123"/>
        <v>42238</v>
      </c>
      <c r="C1261" s="228" t="s">
        <v>195</v>
      </c>
      <c r="D1261" s="229" t="s">
        <v>3</v>
      </c>
      <c r="E1261" s="244" t="s">
        <v>171</v>
      </c>
      <c r="F1261" s="236">
        <v>1000000</v>
      </c>
      <c r="G1261" s="237" t="s">
        <v>213</v>
      </c>
    </row>
    <row r="1262" spans="1:8" ht="15.75">
      <c r="A1262" s="243">
        <v>124</v>
      </c>
      <c r="B1262" s="251">
        <f t="shared" si="123"/>
        <v>42238</v>
      </c>
      <c r="C1262" s="228" t="s">
        <v>195</v>
      </c>
      <c r="D1262" s="229" t="s">
        <v>57</v>
      </c>
      <c r="E1262" s="244" t="s">
        <v>357</v>
      </c>
      <c r="F1262" s="236">
        <v>3240000</v>
      </c>
      <c r="G1262" s="237" t="s">
        <v>213</v>
      </c>
    </row>
    <row r="1263" spans="1:8" ht="15.75">
      <c r="A1263" s="243">
        <v>125</v>
      </c>
      <c r="B1263" s="251">
        <f t="shared" si="123"/>
        <v>42238</v>
      </c>
      <c r="C1263" s="228" t="s">
        <v>195</v>
      </c>
      <c r="D1263" s="229" t="s">
        <v>2</v>
      </c>
      <c r="E1263" s="244" t="s">
        <v>186</v>
      </c>
      <c r="F1263" s="236">
        <v>150000</v>
      </c>
      <c r="G1263" s="237" t="s">
        <v>213</v>
      </c>
    </row>
    <row r="1264" spans="1:8" ht="15.75">
      <c r="A1264" s="243">
        <v>126</v>
      </c>
      <c r="B1264" s="251">
        <f t="shared" si="123"/>
        <v>42238</v>
      </c>
      <c r="C1264" s="228" t="s">
        <v>195</v>
      </c>
      <c r="D1264" s="229"/>
      <c r="E1264" s="239" t="s">
        <v>109</v>
      </c>
      <c r="F1264" s="236"/>
      <c r="G1264" s="237" t="s">
        <v>214</v>
      </c>
    </row>
    <row r="1265" spans="1:8" ht="15.75">
      <c r="A1265" s="243">
        <v>127</v>
      </c>
      <c r="B1265" s="251">
        <f t="shared" si="123"/>
        <v>42238</v>
      </c>
      <c r="C1265" s="228" t="s">
        <v>195</v>
      </c>
      <c r="D1265" s="229" t="s">
        <v>2</v>
      </c>
      <c r="E1265" s="244" t="s">
        <v>113</v>
      </c>
      <c r="F1265" s="236">
        <v>490000</v>
      </c>
      <c r="G1265" s="237" t="s">
        <v>214</v>
      </c>
    </row>
    <row r="1266" spans="1:8" ht="15.75">
      <c r="A1266" s="243">
        <v>128</v>
      </c>
      <c r="B1266" s="251">
        <f t="shared" si="123"/>
        <v>42238</v>
      </c>
      <c r="C1266" s="228" t="s">
        <v>195</v>
      </c>
      <c r="D1266" s="229" t="s">
        <v>2</v>
      </c>
      <c r="E1266" s="244" t="s">
        <v>114</v>
      </c>
      <c r="F1266" s="236">
        <v>207000</v>
      </c>
      <c r="G1266" s="237" t="s">
        <v>214</v>
      </c>
      <c r="H1266" s="241"/>
    </row>
    <row r="1267" spans="1:8" ht="15.75">
      <c r="A1267" s="243">
        <v>129</v>
      </c>
      <c r="B1267" s="251">
        <f t="shared" si="123"/>
        <v>42238</v>
      </c>
      <c r="C1267" s="228" t="s">
        <v>195</v>
      </c>
      <c r="D1267" s="229" t="s">
        <v>3</v>
      </c>
      <c r="E1267" s="244" t="s">
        <v>115</v>
      </c>
      <c r="F1267" s="236">
        <v>70000</v>
      </c>
      <c r="G1267" s="237" t="s">
        <v>214</v>
      </c>
    </row>
    <row r="1268" spans="1:8" ht="15.75">
      <c r="A1268" s="243">
        <v>130</v>
      </c>
      <c r="B1268" s="251">
        <f>B1267+1</f>
        <v>42239</v>
      </c>
      <c r="C1268" s="228" t="s">
        <v>195</v>
      </c>
      <c r="D1268" s="229"/>
      <c r="E1268" s="239" t="s">
        <v>106</v>
      </c>
      <c r="F1268" s="236"/>
      <c r="G1268" s="237" t="s">
        <v>213</v>
      </c>
    </row>
    <row r="1269" spans="1:8" ht="15.75">
      <c r="A1269" s="243">
        <v>131</v>
      </c>
      <c r="B1269" s="251">
        <f>B1268</f>
        <v>42239</v>
      </c>
      <c r="C1269" s="228" t="s">
        <v>195</v>
      </c>
      <c r="D1269" s="229" t="s">
        <v>2</v>
      </c>
      <c r="E1269" s="244" t="s">
        <v>95</v>
      </c>
      <c r="F1269" s="236">
        <v>1800000</v>
      </c>
      <c r="G1269" s="237" t="s">
        <v>213</v>
      </c>
    </row>
    <row r="1270" spans="1:8" ht="15.75">
      <c r="A1270" s="243">
        <v>132</v>
      </c>
      <c r="B1270" s="251">
        <f t="shared" ref="B1270:B1279" si="124">B1269</f>
        <v>42239</v>
      </c>
      <c r="C1270" s="228" t="s">
        <v>195</v>
      </c>
      <c r="D1270" s="229" t="s">
        <v>2</v>
      </c>
      <c r="E1270" s="244" t="s">
        <v>102</v>
      </c>
      <c r="F1270" s="236">
        <v>300000</v>
      </c>
      <c r="G1270" s="237" t="s">
        <v>213</v>
      </c>
    </row>
    <row r="1271" spans="1:8" ht="15.75">
      <c r="A1271" s="243">
        <v>133</v>
      </c>
      <c r="B1271" s="251">
        <f t="shared" si="124"/>
        <v>42239</v>
      </c>
      <c r="C1271" s="228" t="s">
        <v>195</v>
      </c>
      <c r="D1271" s="229" t="s">
        <v>3</v>
      </c>
      <c r="E1271" s="244" t="s">
        <v>79</v>
      </c>
      <c r="F1271" s="236">
        <v>200000</v>
      </c>
      <c r="G1271" s="237" t="s">
        <v>213</v>
      </c>
    </row>
    <row r="1272" spans="1:8" ht="15.75">
      <c r="A1272" s="243">
        <v>134</v>
      </c>
      <c r="B1272" s="251">
        <f t="shared" si="124"/>
        <v>42239</v>
      </c>
      <c r="C1272" s="228" t="s">
        <v>195</v>
      </c>
      <c r="D1272" s="229" t="s">
        <v>57</v>
      </c>
      <c r="E1272" s="244" t="s">
        <v>99</v>
      </c>
      <c r="F1272" s="236">
        <v>140000</v>
      </c>
      <c r="G1272" s="237" t="s">
        <v>213</v>
      </c>
    </row>
    <row r="1273" spans="1:8" ht="15.75">
      <c r="A1273" s="243">
        <v>135</v>
      </c>
      <c r="B1273" s="251">
        <f t="shared" si="124"/>
        <v>42239</v>
      </c>
      <c r="C1273" s="228" t="s">
        <v>195</v>
      </c>
      <c r="D1273" s="229" t="s">
        <v>3</v>
      </c>
      <c r="E1273" s="244" t="s">
        <v>171</v>
      </c>
      <c r="F1273" s="236">
        <v>1000000</v>
      </c>
      <c r="G1273" s="237" t="s">
        <v>213</v>
      </c>
    </row>
    <row r="1274" spans="1:8" ht="15.75">
      <c r="A1274" s="243">
        <v>136</v>
      </c>
      <c r="B1274" s="251">
        <f t="shared" si="124"/>
        <v>42239</v>
      </c>
      <c r="C1274" s="228" t="s">
        <v>195</v>
      </c>
      <c r="D1274" s="229" t="s">
        <v>57</v>
      </c>
      <c r="E1274" s="244" t="s">
        <v>357</v>
      </c>
      <c r="F1274" s="236">
        <v>3240000</v>
      </c>
      <c r="G1274" s="237" t="s">
        <v>213</v>
      </c>
      <c r="H1274" s="241"/>
    </row>
    <row r="1275" spans="1:8" ht="15.75">
      <c r="A1275" s="243">
        <v>137</v>
      </c>
      <c r="B1275" s="251">
        <f t="shared" si="124"/>
        <v>42239</v>
      </c>
      <c r="C1275" s="228" t="s">
        <v>195</v>
      </c>
      <c r="D1275" s="229" t="s">
        <v>2</v>
      </c>
      <c r="E1275" s="244" t="s">
        <v>186</v>
      </c>
      <c r="F1275" s="236">
        <v>150000</v>
      </c>
      <c r="G1275" s="237" t="s">
        <v>213</v>
      </c>
    </row>
    <row r="1276" spans="1:8" ht="15.75">
      <c r="A1276" s="243">
        <v>138</v>
      </c>
      <c r="B1276" s="251">
        <f t="shared" si="124"/>
        <v>42239</v>
      </c>
      <c r="C1276" s="228" t="s">
        <v>195</v>
      </c>
      <c r="D1276" s="229"/>
      <c r="E1276" s="239" t="s">
        <v>109</v>
      </c>
      <c r="F1276" s="236"/>
      <c r="G1276" s="237" t="s">
        <v>214</v>
      </c>
    </row>
    <row r="1277" spans="1:8" ht="15.75">
      <c r="A1277" s="243">
        <v>139</v>
      </c>
      <c r="B1277" s="251">
        <f t="shared" si="124"/>
        <v>42239</v>
      </c>
      <c r="C1277" s="228" t="s">
        <v>195</v>
      </c>
      <c r="D1277" s="229" t="s">
        <v>2</v>
      </c>
      <c r="E1277" s="244" t="s">
        <v>113</v>
      </c>
      <c r="F1277" s="236">
        <v>490000</v>
      </c>
      <c r="G1277" s="237" t="s">
        <v>214</v>
      </c>
    </row>
    <row r="1278" spans="1:8" ht="15.75">
      <c r="A1278" s="243">
        <v>140</v>
      </c>
      <c r="B1278" s="251">
        <f t="shared" si="124"/>
        <v>42239</v>
      </c>
      <c r="C1278" s="228" t="s">
        <v>195</v>
      </c>
      <c r="D1278" s="229" t="s">
        <v>2</v>
      </c>
      <c r="E1278" s="244" t="s">
        <v>114</v>
      </c>
      <c r="F1278" s="236">
        <v>207000</v>
      </c>
      <c r="G1278" s="237" t="s">
        <v>214</v>
      </c>
    </row>
    <row r="1279" spans="1:8" ht="15.75">
      <c r="A1279" s="243">
        <v>141</v>
      </c>
      <c r="B1279" s="251">
        <f t="shared" si="124"/>
        <v>42239</v>
      </c>
      <c r="C1279" s="228" t="s">
        <v>195</v>
      </c>
      <c r="D1279" s="229" t="s">
        <v>3</v>
      </c>
      <c r="E1279" s="244" t="s">
        <v>115</v>
      </c>
      <c r="F1279" s="236">
        <v>70000</v>
      </c>
      <c r="G1279" s="237" t="s">
        <v>214</v>
      </c>
    </row>
    <row r="1280" spans="1:8" ht="15.75">
      <c r="A1280" s="243">
        <f t="shared" ref="A1280" si="125">A1279+1</f>
        <v>142</v>
      </c>
      <c r="B1280" s="251">
        <f>B1279</f>
        <v>42239</v>
      </c>
      <c r="C1280" s="228" t="s">
        <v>195</v>
      </c>
      <c r="D1280" s="229" t="s">
        <v>57</v>
      </c>
      <c r="E1280" s="230" t="s">
        <v>226</v>
      </c>
      <c r="F1280" s="236">
        <f>5*35000*14</f>
        <v>2450000</v>
      </c>
      <c r="G1280" s="237" t="s">
        <v>225</v>
      </c>
      <c r="H1280" s="227">
        <v>14</v>
      </c>
    </row>
    <row r="1281" spans="1:9">
      <c r="A1281" s="243"/>
      <c r="B1281" s="240"/>
      <c r="C1281" s="242"/>
      <c r="D1281" s="245"/>
      <c r="E1281" s="230"/>
      <c r="F1281" s="236"/>
      <c r="G1281" s="237"/>
      <c r="I1281" s="269"/>
    </row>
    <row r="1282" spans="1:9" s="269" customFormat="1" ht="15">
      <c r="A1282" s="262"/>
      <c r="B1282" s="263" t="s">
        <v>189</v>
      </c>
      <c r="C1282" s="264">
        <v>42240</v>
      </c>
      <c r="D1282" s="264">
        <f>C1282+13</f>
        <v>42253</v>
      </c>
      <c r="E1282" s="265"/>
      <c r="F1282" s="266">
        <f>SUM(F1283:F1427)</f>
        <v>77472700</v>
      </c>
      <c r="G1282" s="267" t="s">
        <v>251</v>
      </c>
      <c r="H1282" s="268"/>
      <c r="I1282" s="227"/>
    </row>
    <row r="1283" spans="1:9" ht="15.75">
      <c r="A1283" s="243">
        <v>1</v>
      </c>
      <c r="B1283" s="251">
        <f>C1282</f>
        <v>42240</v>
      </c>
      <c r="C1283" s="228" t="s">
        <v>195</v>
      </c>
      <c r="D1283" s="229"/>
      <c r="E1283" s="239" t="s">
        <v>106</v>
      </c>
      <c r="F1283" s="236"/>
      <c r="G1283" s="237" t="s">
        <v>213</v>
      </c>
      <c r="H1283" s="233"/>
    </row>
    <row r="1284" spans="1:9" ht="15.75">
      <c r="A1284" s="243">
        <v>2</v>
      </c>
      <c r="B1284" s="251">
        <f>B1283</f>
        <v>42240</v>
      </c>
      <c r="C1284" s="228" t="s">
        <v>195</v>
      </c>
      <c r="D1284" s="229" t="s">
        <v>2</v>
      </c>
      <c r="E1284" s="244" t="s">
        <v>95</v>
      </c>
      <c r="F1284" s="236">
        <v>1800000</v>
      </c>
      <c r="G1284" s="237" t="s">
        <v>213</v>
      </c>
      <c r="H1284" s="226"/>
    </row>
    <row r="1285" spans="1:9" ht="15.75">
      <c r="A1285" s="243">
        <v>3</v>
      </c>
      <c r="B1285" s="251">
        <f t="shared" ref="B1285:B1294" si="126">B1284</f>
        <v>42240</v>
      </c>
      <c r="C1285" s="228" t="s">
        <v>195</v>
      </c>
      <c r="D1285" s="229" t="s">
        <v>2</v>
      </c>
      <c r="E1285" s="244" t="s">
        <v>102</v>
      </c>
      <c r="F1285" s="236">
        <v>300000</v>
      </c>
      <c r="G1285" s="237" t="s">
        <v>213</v>
      </c>
      <c r="H1285" s="226"/>
    </row>
    <row r="1286" spans="1:9" ht="15.75">
      <c r="A1286" s="243">
        <v>4</v>
      </c>
      <c r="B1286" s="251">
        <f t="shared" si="126"/>
        <v>42240</v>
      </c>
      <c r="C1286" s="228" t="s">
        <v>195</v>
      </c>
      <c r="D1286" s="229" t="s">
        <v>3</v>
      </c>
      <c r="E1286" s="244" t="s">
        <v>79</v>
      </c>
      <c r="F1286" s="236">
        <v>200000</v>
      </c>
      <c r="G1286" s="237" t="s">
        <v>213</v>
      </c>
    </row>
    <row r="1287" spans="1:9" ht="15.75">
      <c r="A1287" s="243">
        <v>5</v>
      </c>
      <c r="B1287" s="251">
        <f t="shared" si="126"/>
        <v>42240</v>
      </c>
      <c r="C1287" s="228" t="s">
        <v>195</v>
      </c>
      <c r="D1287" s="229" t="s">
        <v>57</v>
      </c>
      <c r="E1287" s="244" t="s">
        <v>99</v>
      </c>
      <c r="F1287" s="236">
        <v>140000</v>
      </c>
      <c r="G1287" s="237" t="s">
        <v>213</v>
      </c>
    </row>
    <row r="1288" spans="1:9" ht="15.75">
      <c r="A1288" s="243">
        <v>6</v>
      </c>
      <c r="B1288" s="251">
        <f t="shared" si="126"/>
        <v>42240</v>
      </c>
      <c r="C1288" s="228" t="s">
        <v>195</v>
      </c>
      <c r="D1288" s="229" t="s">
        <v>3</v>
      </c>
      <c r="E1288" s="244" t="s">
        <v>171</v>
      </c>
      <c r="F1288" s="236">
        <v>1000000</v>
      </c>
      <c r="G1288" s="237" t="s">
        <v>213</v>
      </c>
    </row>
    <row r="1289" spans="1:9" ht="15.75">
      <c r="A1289" s="243">
        <v>7</v>
      </c>
      <c r="B1289" s="251">
        <f t="shared" si="126"/>
        <v>42240</v>
      </c>
      <c r="C1289" s="228" t="s">
        <v>195</v>
      </c>
      <c r="D1289" s="229" t="s">
        <v>57</v>
      </c>
      <c r="E1289" s="244" t="s">
        <v>357</v>
      </c>
      <c r="F1289" s="236">
        <v>3240000</v>
      </c>
      <c r="G1289" s="237" t="s">
        <v>213</v>
      </c>
      <c r="H1289" s="241"/>
    </row>
    <row r="1290" spans="1:9" ht="15.75">
      <c r="A1290" s="243">
        <v>8</v>
      </c>
      <c r="B1290" s="251">
        <f t="shared" si="126"/>
        <v>42240</v>
      </c>
      <c r="C1290" s="228" t="s">
        <v>195</v>
      </c>
      <c r="D1290" s="229" t="s">
        <v>2</v>
      </c>
      <c r="E1290" s="244" t="s">
        <v>186</v>
      </c>
      <c r="F1290" s="236">
        <v>150000</v>
      </c>
      <c r="G1290" s="237" t="s">
        <v>213</v>
      </c>
    </row>
    <row r="1291" spans="1:9" ht="15.75">
      <c r="A1291" s="243">
        <v>9</v>
      </c>
      <c r="B1291" s="251">
        <f t="shared" si="126"/>
        <v>42240</v>
      </c>
      <c r="C1291" s="228" t="s">
        <v>195</v>
      </c>
      <c r="D1291" s="229"/>
      <c r="E1291" s="239" t="s">
        <v>109</v>
      </c>
      <c r="F1291" s="236"/>
      <c r="G1291" s="237" t="s">
        <v>214</v>
      </c>
    </row>
    <row r="1292" spans="1:9" ht="15.75">
      <c r="A1292" s="243">
        <v>10</v>
      </c>
      <c r="B1292" s="251">
        <f t="shared" si="126"/>
        <v>42240</v>
      </c>
      <c r="C1292" s="228" t="s">
        <v>195</v>
      </c>
      <c r="D1292" s="229" t="s">
        <v>2</v>
      </c>
      <c r="E1292" s="244" t="s">
        <v>113</v>
      </c>
      <c r="F1292" s="236">
        <v>490000</v>
      </c>
      <c r="G1292" s="237" t="s">
        <v>214</v>
      </c>
    </row>
    <row r="1293" spans="1:9" ht="15.75">
      <c r="A1293" s="243">
        <v>11</v>
      </c>
      <c r="B1293" s="251">
        <f t="shared" si="126"/>
        <v>42240</v>
      </c>
      <c r="C1293" s="228" t="s">
        <v>195</v>
      </c>
      <c r="D1293" s="229" t="s">
        <v>2</v>
      </c>
      <c r="E1293" s="244" t="s">
        <v>114</v>
      </c>
      <c r="F1293" s="236">
        <v>207000</v>
      </c>
      <c r="G1293" s="237" t="s">
        <v>214</v>
      </c>
    </row>
    <row r="1294" spans="1:9" ht="15.75">
      <c r="A1294" s="243">
        <v>12</v>
      </c>
      <c r="B1294" s="251">
        <f t="shared" si="126"/>
        <v>42240</v>
      </c>
      <c r="C1294" s="228" t="s">
        <v>195</v>
      </c>
      <c r="D1294" s="229" t="s">
        <v>3</v>
      </c>
      <c r="E1294" s="244" t="s">
        <v>115</v>
      </c>
      <c r="F1294" s="236">
        <v>70000</v>
      </c>
      <c r="G1294" s="237" t="s">
        <v>214</v>
      </c>
    </row>
    <row r="1295" spans="1:9" ht="15.75">
      <c r="A1295" s="243">
        <v>13</v>
      </c>
      <c r="B1295" s="251">
        <f>B1294+1</f>
        <v>42241</v>
      </c>
      <c r="C1295" s="228" t="s">
        <v>195</v>
      </c>
      <c r="D1295" s="229"/>
      <c r="E1295" s="239" t="s">
        <v>106</v>
      </c>
      <c r="F1295" s="236"/>
      <c r="G1295" s="237" t="s">
        <v>213</v>
      </c>
      <c r="I1295" s="227" t="s">
        <v>218</v>
      </c>
    </row>
    <row r="1296" spans="1:9" ht="15.75">
      <c r="A1296" s="243">
        <v>14</v>
      </c>
      <c r="B1296" s="251">
        <f>B1295</f>
        <v>42241</v>
      </c>
      <c r="C1296" s="228" t="s">
        <v>195</v>
      </c>
      <c r="D1296" s="229" t="s">
        <v>2</v>
      </c>
      <c r="E1296" s="244" t="s">
        <v>95</v>
      </c>
      <c r="F1296" s="236">
        <v>1800000</v>
      </c>
      <c r="G1296" s="237" t="s">
        <v>213</v>
      </c>
      <c r="H1296" s="279">
        <f>SUBTOTAL(9,F15:F1296)</f>
        <v>3030610499.9999995</v>
      </c>
    </row>
    <row r="1297" spans="1:9" ht="15.75">
      <c r="A1297" s="243">
        <v>15</v>
      </c>
      <c r="B1297" s="251">
        <f t="shared" ref="B1297:B1306" si="127">B1296</f>
        <v>42241</v>
      </c>
      <c r="C1297" s="228" t="s">
        <v>195</v>
      </c>
      <c r="D1297" s="229" t="s">
        <v>2</v>
      </c>
      <c r="E1297" s="244" t="s">
        <v>102</v>
      </c>
      <c r="F1297" s="236">
        <v>300000</v>
      </c>
      <c r="G1297" s="237" t="s">
        <v>213</v>
      </c>
    </row>
    <row r="1298" spans="1:9" ht="15.75">
      <c r="A1298" s="243">
        <v>16</v>
      </c>
      <c r="B1298" s="251">
        <f t="shared" si="127"/>
        <v>42241</v>
      </c>
      <c r="C1298" s="228" t="s">
        <v>195</v>
      </c>
      <c r="D1298" s="229" t="s">
        <v>3</v>
      </c>
      <c r="E1298" s="244" t="s">
        <v>79</v>
      </c>
      <c r="F1298" s="236">
        <v>200000</v>
      </c>
      <c r="G1298" s="237" t="s">
        <v>213</v>
      </c>
    </row>
    <row r="1299" spans="1:9" ht="15.75">
      <c r="A1299" s="243">
        <v>17</v>
      </c>
      <c r="B1299" s="251">
        <f t="shared" si="127"/>
        <v>42241</v>
      </c>
      <c r="C1299" s="228" t="s">
        <v>195</v>
      </c>
      <c r="D1299" s="229" t="s">
        <v>57</v>
      </c>
      <c r="E1299" s="244" t="s">
        <v>99</v>
      </c>
      <c r="F1299" s="236">
        <v>140000</v>
      </c>
      <c r="G1299" s="237" t="s">
        <v>213</v>
      </c>
    </row>
    <row r="1300" spans="1:9" ht="15.75">
      <c r="A1300" s="243">
        <v>18</v>
      </c>
      <c r="B1300" s="251">
        <f t="shared" si="127"/>
        <v>42241</v>
      </c>
      <c r="C1300" s="228" t="s">
        <v>195</v>
      </c>
      <c r="D1300" s="229" t="s">
        <v>3</v>
      </c>
      <c r="E1300" s="244" t="s">
        <v>171</v>
      </c>
      <c r="F1300" s="236">
        <v>1000000</v>
      </c>
      <c r="G1300" s="237" t="s">
        <v>213</v>
      </c>
    </row>
    <row r="1301" spans="1:9" ht="15.75">
      <c r="A1301" s="243">
        <v>19</v>
      </c>
      <c r="B1301" s="251">
        <f t="shared" si="127"/>
        <v>42241</v>
      </c>
      <c r="C1301" s="228" t="s">
        <v>195</v>
      </c>
      <c r="D1301" s="229" t="s">
        <v>57</v>
      </c>
      <c r="E1301" s="244" t="s">
        <v>357</v>
      </c>
      <c r="F1301" s="236">
        <v>3240000</v>
      </c>
      <c r="G1301" s="237" t="s">
        <v>213</v>
      </c>
    </row>
    <row r="1302" spans="1:9" ht="15.75">
      <c r="A1302" s="243">
        <v>20</v>
      </c>
      <c r="B1302" s="251">
        <f t="shared" si="127"/>
        <v>42241</v>
      </c>
      <c r="C1302" s="228" t="s">
        <v>195</v>
      </c>
      <c r="D1302" s="229" t="s">
        <v>2</v>
      </c>
      <c r="E1302" s="244" t="s">
        <v>186</v>
      </c>
      <c r="F1302" s="236">
        <v>150000</v>
      </c>
      <c r="G1302" s="237" t="s">
        <v>213</v>
      </c>
    </row>
    <row r="1303" spans="1:9" ht="15.75">
      <c r="A1303" s="243">
        <v>21</v>
      </c>
      <c r="B1303" s="251">
        <f t="shared" si="127"/>
        <v>42241</v>
      </c>
      <c r="C1303" s="228" t="s">
        <v>195</v>
      </c>
      <c r="D1303" s="229"/>
      <c r="E1303" s="239" t="s">
        <v>109</v>
      </c>
      <c r="F1303" s="236"/>
      <c r="G1303" s="237" t="s">
        <v>214</v>
      </c>
    </row>
    <row r="1304" spans="1:9" ht="15.75">
      <c r="A1304" s="243">
        <v>22</v>
      </c>
      <c r="B1304" s="251">
        <f t="shared" si="127"/>
        <v>42241</v>
      </c>
      <c r="C1304" s="228" t="s">
        <v>195</v>
      </c>
      <c r="D1304" s="229" t="s">
        <v>2</v>
      </c>
      <c r="E1304" s="244" t="s">
        <v>113</v>
      </c>
      <c r="F1304" s="236">
        <v>490000</v>
      </c>
      <c r="G1304" s="237" t="s">
        <v>214</v>
      </c>
    </row>
    <row r="1305" spans="1:9" ht="15.75">
      <c r="A1305" s="243">
        <v>23</v>
      </c>
      <c r="B1305" s="251">
        <f t="shared" si="127"/>
        <v>42241</v>
      </c>
      <c r="C1305" s="228" t="s">
        <v>195</v>
      </c>
      <c r="D1305" s="229" t="s">
        <v>2</v>
      </c>
      <c r="E1305" s="244" t="s">
        <v>114</v>
      </c>
      <c r="F1305" s="236">
        <v>207000</v>
      </c>
      <c r="G1305" s="237" t="s">
        <v>214</v>
      </c>
    </row>
    <row r="1306" spans="1:9" ht="15.75">
      <c r="A1306" s="243">
        <v>24</v>
      </c>
      <c r="B1306" s="251">
        <f t="shared" si="127"/>
        <v>42241</v>
      </c>
      <c r="C1306" s="228" t="s">
        <v>195</v>
      </c>
      <c r="D1306" s="229" t="s">
        <v>3</v>
      </c>
      <c r="E1306" s="244" t="s">
        <v>115</v>
      </c>
      <c r="F1306" s="236">
        <v>70000</v>
      </c>
      <c r="G1306" s="237" t="s">
        <v>214</v>
      </c>
    </row>
    <row r="1307" spans="1:9" ht="15.75">
      <c r="A1307" s="243">
        <v>25</v>
      </c>
      <c r="B1307" s="251">
        <f>B1306+1</f>
        <v>42242</v>
      </c>
      <c r="C1307" s="228" t="s">
        <v>195</v>
      </c>
      <c r="D1307" s="229"/>
      <c r="E1307" s="239" t="s">
        <v>106</v>
      </c>
      <c r="F1307" s="236"/>
      <c r="G1307" s="237" t="s">
        <v>213</v>
      </c>
      <c r="I1307" s="227" t="s">
        <v>218</v>
      </c>
    </row>
    <row r="1308" spans="1:9" ht="15.75">
      <c r="A1308" s="243">
        <v>26</v>
      </c>
      <c r="B1308" s="251">
        <f>B1307</f>
        <v>42242</v>
      </c>
      <c r="C1308" s="228" t="s">
        <v>195</v>
      </c>
      <c r="D1308" s="229" t="s">
        <v>2</v>
      </c>
      <c r="E1308" s="244" t="s">
        <v>95</v>
      </c>
      <c r="F1308" s="236">
        <v>1800000</v>
      </c>
      <c r="G1308" s="237" t="s">
        <v>213</v>
      </c>
      <c r="H1308" s="279">
        <f>SUBTOTAL(9,F27:F1308)</f>
        <v>3032132499.9999995</v>
      </c>
    </row>
    <row r="1309" spans="1:9" ht="15.75">
      <c r="A1309" s="243">
        <v>27</v>
      </c>
      <c r="B1309" s="251">
        <f t="shared" ref="B1309:B1318" si="128">B1308</f>
        <v>42242</v>
      </c>
      <c r="C1309" s="228" t="s">
        <v>195</v>
      </c>
      <c r="D1309" s="229" t="s">
        <v>2</v>
      </c>
      <c r="E1309" s="244" t="s">
        <v>102</v>
      </c>
      <c r="F1309" s="236">
        <v>300000</v>
      </c>
      <c r="G1309" s="237" t="s">
        <v>213</v>
      </c>
    </row>
    <row r="1310" spans="1:9" ht="15.75">
      <c r="A1310" s="243">
        <v>28</v>
      </c>
      <c r="B1310" s="251">
        <f t="shared" si="128"/>
        <v>42242</v>
      </c>
      <c r="C1310" s="228" t="s">
        <v>195</v>
      </c>
      <c r="D1310" s="229" t="s">
        <v>3</v>
      </c>
      <c r="E1310" s="244" t="s">
        <v>79</v>
      </c>
      <c r="F1310" s="236">
        <v>200000</v>
      </c>
      <c r="G1310" s="237" t="s">
        <v>213</v>
      </c>
    </row>
    <row r="1311" spans="1:9" ht="15.75">
      <c r="A1311" s="243">
        <v>29</v>
      </c>
      <c r="B1311" s="251">
        <f t="shared" si="128"/>
        <v>42242</v>
      </c>
      <c r="C1311" s="228" t="s">
        <v>195</v>
      </c>
      <c r="D1311" s="229" t="s">
        <v>57</v>
      </c>
      <c r="E1311" s="244" t="s">
        <v>99</v>
      </c>
      <c r="F1311" s="236">
        <v>140000</v>
      </c>
      <c r="G1311" s="237" t="s">
        <v>213</v>
      </c>
    </row>
    <row r="1312" spans="1:9" ht="15.75">
      <c r="A1312" s="243">
        <v>30</v>
      </c>
      <c r="B1312" s="251">
        <f t="shared" si="128"/>
        <v>42242</v>
      </c>
      <c r="C1312" s="228" t="s">
        <v>195</v>
      </c>
      <c r="D1312" s="229" t="s">
        <v>3</v>
      </c>
      <c r="E1312" s="244" t="s">
        <v>171</v>
      </c>
      <c r="F1312" s="236">
        <v>1000000</v>
      </c>
      <c r="G1312" s="237" t="s">
        <v>213</v>
      </c>
    </row>
    <row r="1313" spans="1:9" ht="15.75">
      <c r="A1313" s="243">
        <v>31</v>
      </c>
      <c r="B1313" s="251">
        <f t="shared" si="128"/>
        <v>42242</v>
      </c>
      <c r="C1313" s="228" t="s">
        <v>195</v>
      </c>
      <c r="D1313" s="229" t="s">
        <v>57</v>
      </c>
      <c r="E1313" s="244" t="s">
        <v>357</v>
      </c>
      <c r="F1313" s="236">
        <v>3240000</v>
      </c>
      <c r="G1313" s="237" t="s">
        <v>213</v>
      </c>
    </row>
    <row r="1314" spans="1:9" ht="15.75">
      <c r="A1314" s="243">
        <v>32</v>
      </c>
      <c r="B1314" s="251">
        <f t="shared" si="128"/>
        <v>42242</v>
      </c>
      <c r="C1314" s="228" t="s">
        <v>195</v>
      </c>
      <c r="D1314" s="229" t="s">
        <v>2</v>
      </c>
      <c r="E1314" s="244" t="s">
        <v>186</v>
      </c>
      <c r="F1314" s="236">
        <v>150000</v>
      </c>
      <c r="G1314" s="237" t="s">
        <v>213</v>
      </c>
    </row>
    <row r="1315" spans="1:9" ht="15.75">
      <c r="A1315" s="243">
        <v>33</v>
      </c>
      <c r="B1315" s="251">
        <f t="shared" si="128"/>
        <v>42242</v>
      </c>
      <c r="C1315" s="228" t="s">
        <v>195</v>
      </c>
      <c r="D1315" s="229"/>
      <c r="E1315" s="239" t="s">
        <v>109</v>
      </c>
      <c r="F1315" s="236"/>
      <c r="G1315" s="237" t="s">
        <v>214</v>
      </c>
    </row>
    <row r="1316" spans="1:9" ht="15.75">
      <c r="A1316" s="243">
        <v>34</v>
      </c>
      <c r="B1316" s="251">
        <f t="shared" si="128"/>
        <v>42242</v>
      </c>
      <c r="C1316" s="228" t="s">
        <v>195</v>
      </c>
      <c r="D1316" s="229" t="s">
        <v>2</v>
      </c>
      <c r="E1316" s="244" t="s">
        <v>113</v>
      </c>
      <c r="F1316" s="236">
        <v>490000</v>
      </c>
      <c r="G1316" s="237" t="s">
        <v>214</v>
      </c>
    </row>
    <row r="1317" spans="1:9" ht="15.75">
      <c r="A1317" s="243">
        <v>35</v>
      </c>
      <c r="B1317" s="251">
        <f t="shared" si="128"/>
        <v>42242</v>
      </c>
      <c r="C1317" s="228" t="s">
        <v>195</v>
      </c>
      <c r="D1317" s="229" t="s">
        <v>2</v>
      </c>
      <c r="E1317" s="244" t="s">
        <v>114</v>
      </c>
      <c r="F1317" s="236">
        <v>207000</v>
      </c>
      <c r="G1317" s="237" t="s">
        <v>214</v>
      </c>
    </row>
    <row r="1318" spans="1:9" ht="15.75">
      <c r="A1318" s="243">
        <v>36</v>
      </c>
      <c r="B1318" s="251">
        <f t="shared" si="128"/>
        <v>42242</v>
      </c>
      <c r="C1318" s="228" t="s">
        <v>195</v>
      </c>
      <c r="D1318" s="229" t="s">
        <v>3</v>
      </c>
      <c r="E1318" s="244" t="s">
        <v>115</v>
      </c>
      <c r="F1318" s="236">
        <v>70000</v>
      </c>
      <c r="G1318" s="237" t="s">
        <v>214</v>
      </c>
    </row>
    <row r="1319" spans="1:9" ht="15.75">
      <c r="A1319" s="243">
        <v>37</v>
      </c>
      <c r="B1319" s="251">
        <f>B1318+1</f>
        <v>42243</v>
      </c>
      <c r="C1319" s="228" t="s">
        <v>195</v>
      </c>
      <c r="D1319" s="229"/>
      <c r="E1319" s="239" t="s">
        <v>106</v>
      </c>
      <c r="F1319" s="236"/>
      <c r="G1319" s="237" t="s">
        <v>213</v>
      </c>
      <c r="I1319" s="227" t="s">
        <v>218</v>
      </c>
    </row>
    <row r="1320" spans="1:9" ht="15.75">
      <c r="A1320" s="243">
        <v>38</v>
      </c>
      <c r="B1320" s="251">
        <f>B1319</f>
        <v>42243</v>
      </c>
      <c r="C1320" s="228" t="s">
        <v>195</v>
      </c>
      <c r="D1320" s="229" t="s">
        <v>2</v>
      </c>
      <c r="E1320" s="244" t="s">
        <v>95</v>
      </c>
      <c r="F1320" s="236">
        <v>1800000</v>
      </c>
      <c r="G1320" s="237" t="s">
        <v>213</v>
      </c>
      <c r="H1320" s="279">
        <f>SUBTOTAL(9,F38:F1320)</f>
        <v>2971997550.0000005</v>
      </c>
    </row>
    <row r="1321" spans="1:9" ht="15.75">
      <c r="A1321" s="243">
        <v>39</v>
      </c>
      <c r="B1321" s="251">
        <f t="shared" ref="B1321:B1330" si="129">B1320</f>
        <v>42243</v>
      </c>
      <c r="C1321" s="228" t="s">
        <v>195</v>
      </c>
      <c r="D1321" s="229" t="s">
        <v>2</v>
      </c>
      <c r="E1321" s="244" t="s">
        <v>102</v>
      </c>
      <c r="F1321" s="236">
        <v>300000</v>
      </c>
      <c r="G1321" s="237" t="s">
        <v>213</v>
      </c>
    </row>
    <row r="1322" spans="1:9" ht="15.75">
      <c r="A1322" s="243">
        <v>40</v>
      </c>
      <c r="B1322" s="251">
        <f t="shared" si="129"/>
        <v>42243</v>
      </c>
      <c r="C1322" s="228" t="s">
        <v>195</v>
      </c>
      <c r="D1322" s="229" t="s">
        <v>3</v>
      </c>
      <c r="E1322" s="244" t="s">
        <v>79</v>
      </c>
      <c r="F1322" s="236">
        <v>200000</v>
      </c>
      <c r="G1322" s="237" t="s">
        <v>213</v>
      </c>
    </row>
    <row r="1323" spans="1:9" ht="15.75">
      <c r="A1323" s="243">
        <v>41</v>
      </c>
      <c r="B1323" s="251">
        <f t="shared" si="129"/>
        <v>42243</v>
      </c>
      <c r="C1323" s="228" t="s">
        <v>195</v>
      </c>
      <c r="D1323" s="229" t="s">
        <v>57</v>
      </c>
      <c r="E1323" s="244" t="s">
        <v>99</v>
      </c>
      <c r="F1323" s="236">
        <v>140000</v>
      </c>
      <c r="G1323" s="237" t="s">
        <v>213</v>
      </c>
    </row>
    <row r="1324" spans="1:9" ht="15.75">
      <c r="A1324" s="243">
        <v>42</v>
      </c>
      <c r="B1324" s="251">
        <f t="shared" si="129"/>
        <v>42243</v>
      </c>
      <c r="C1324" s="228" t="s">
        <v>195</v>
      </c>
      <c r="D1324" s="229" t="s">
        <v>3</v>
      </c>
      <c r="E1324" s="244" t="s">
        <v>171</v>
      </c>
      <c r="F1324" s="236">
        <v>1000000</v>
      </c>
      <c r="G1324" s="237" t="s">
        <v>213</v>
      </c>
    </row>
    <row r="1325" spans="1:9" ht="15.75">
      <c r="A1325" s="243">
        <v>43</v>
      </c>
      <c r="B1325" s="251">
        <f t="shared" si="129"/>
        <v>42243</v>
      </c>
      <c r="C1325" s="228" t="s">
        <v>195</v>
      </c>
      <c r="D1325" s="229" t="s">
        <v>57</v>
      </c>
      <c r="E1325" s="244" t="s">
        <v>357</v>
      </c>
      <c r="F1325" s="236">
        <v>3240000</v>
      </c>
      <c r="G1325" s="237" t="s">
        <v>213</v>
      </c>
    </row>
    <row r="1326" spans="1:9" ht="15.75">
      <c r="A1326" s="243">
        <v>44</v>
      </c>
      <c r="B1326" s="251">
        <f t="shared" si="129"/>
        <v>42243</v>
      </c>
      <c r="C1326" s="228" t="s">
        <v>195</v>
      </c>
      <c r="D1326" s="229" t="s">
        <v>2</v>
      </c>
      <c r="E1326" s="244" t="s">
        <v>186</v>
      </c>
      <c r="F1326" s="236">
        <v>150000</v>
      </c>
      <c r="G1326" s="237" t="s">
        <v>213</v>
      </c>
    </row>
    <row r="1327" spans="1:9" ht="15.75">
      <c r="A1327" s="243">
        <v>45</v>
      </c>
      <c r="B1327" s="251">
        <f t="shared" si="129"/>
        <v>42243</v>
      </c>
      <c r="C1327" s="228" t="s">
        <v>195</v>
      </c>
      <c r="D1327" s="229"/>
      <c r="E1327" s="239" t="s">
        <v>109</v>
      </c>
      <c r="F1327" s="236"/>
      <c r="G1327" s="237" t="s">
        <v>214</v>
      </c>
    </row>
    <row r="1328" spans="1:9" ht="15.75">
      <c r="A1328" s="243">
        <v>46</v>
      </c>
      <c r="B1328" s="251">
        <f t="shared" si="129"/>
        <v>42243</v>
      </c>
      <c r="C1328" s="228" t="s">
        <v>195</v>
      </c>
      <c r="D1328" s="229" t="s">
        <v>2</v>
      </c>
      <c r="E1328" s="244" t="s">
        <v>113</v>
      </c>
      <c r="F1328" s="236">
        <v>490000</v>
      </c>
      <c r="G1328" s="237" t="s">
        <v>214</v>
      </c>
    </row>
    <row r="1329" spans="1:9" ht="15.75">
      <c r="A1329" s="243">
        <v>47</v>
      </c>
      <c r="B1329" s="251">
        <f t="shared" si="129"/>
        <v>42243</v>
      </c>
      <c r="C1329" s="228" t="s">
        <v>195</v>
      </c>
      <c r="D1329" s="229" t="s">
        <v>2</v>
      </c>
      <c r="E1329" s="244" t="s">
        <v>114</v>
      </c>
      <c r="F1329" s="236">
        <v>207000</v>
      </c>
      <c r="G1329" s="237" t="s">
        <v>214</v>
      </c>
    </row>
    <row r="1330" spans="1:9" ht="15.75">
      <c r="A1330" s="243">
        <v>48</v>
      </c>
      <c r="B1330" s="251">
        <f t="shared" si="129"/>
        <v>42243</v>
      </c>
      <c r="C1330" s="228" t="s">
        <v>195</v>
      </c>
      <c r="D1330" s="229" t="s">
        <v>3</v>
      </c>
      <c r="E1330" s="244" t="s">
        <v>115</v>
      </c>
      <c r="F1330" s="236">
        <v>70000</v>
      </c>
      <c r="G1330" s="237" t="s">
        <v>214</v>
      </c>
    </row>
    <row r="1331" spans="1:9" ht="15.75">
      <c r="A1331" s="243">
        <v>49</v>
      </c>
      <c r="B1331" s="251">
        <f>B1330+1</f>
        <v>42244</v>
      </c>
      <c r="C1331" s="228" t="s">
        <v>195</v>
      </c>
      <c r="D1331" s="229"/>
      <c r="E1331" s="239" t="s">
        <v>106</v>
      </c>
      <c r="F1331" s="236"/>
      <c r="G1331" s="237" t="s">
        <v>213</v>
      </c>
      <c r="I1331" s="227" t="s">
        <v>218</v>
      </c>
    </row>
    <row r="1332" spans="1:9" ht="15.75">
      <c r="A1332" s="243">
        <v>50</v>
      </c>
      <c r="B1332" s="251">
        <f>B1331</f>
        <v>42244</v>
      </c>
      <c r="C1332" s="228" t="s">
        <v>195</v>
      </c>
      <c r="D1332" s="229" t="s">
        <v>2</v>
      </c>
      <c r="E1332" s="244" t="s">
        <v>95</v>
      </c>
      <c r="F1332" s="236">
        <v>1800000</v>
      </c>
      <c r="G1332" s="237" t="s">
        <v>213</v>
      </c>
      <c r="H1332" s="279">
        <f>SUBTOTAL(9,F49:F1332)</f>
        <v>2972702050.0000005</v>
      </c>
    </row>
    <row r="1333" spans="1:9" ht="15.75">
      <c r="A1333" s="243">
        <v>51</v>
      </c>
      <c r="B1333" s="251">
        <f t="shared" ref="B1333:B1342" si="130">B1332</f>
        <v>42244</v>
      </c>
      <c r="C1333" s="228" t="s">
        <v>195</v>
      </c>
      <c r="D1333" s="229" t="s">
        <v>2</v>
      </c>
      <c r="E1333" s="244" t="s">
        <v>102</v>
      </c>
      <c r="F1333" s="236">
        <v>300000</v>
      </c>
      <c r="G1333" s="237" t="s">
        <v>213</v>
      </c>
    </row>
    <row r="1334" spans="1:9" ht="15.75">
      <c r="A1334" s="243">
        <v>52</v>
      </c>
      <c r="B1334" s="251">
        <f t="shared" si="130"/>
        <v>42244</v>
      </c>
      <c r="C1334" s="228" t="s">
        <v>195</v>
      </c>
      <c r="D1334" s="229" t="s">
        <v>3</v>
      </c>
      <c r="E1334" s="244" t="s">
        <v>79</v>
      </c>
      <c r="F1334" s="236">
        <v>200000</v>
      </c>
      <c r="G1334" s="237" t="s">
        <v>213</v>
      </c>
    </row>
    <row r="1335" spans="1:9" ht="15.75">
      <c r="A1335" s="243">
        <v>53</v>
      </c>
      <c r="B1335" s="251">
        <f t="shared" si="130"/>
        <v>42244</v>
      </c>
      <c r="C1335" s="228" t="s">
        <v>195</v>
      </c>
      <c r="D1335" s="229" t="s">
        <v>57</v>
      </c>
      <c r="E1335" s="244" t="s">
        <v>99</v>
      </c>
      <c r="F1335" s="236">
        <v>140000</v>
      </c>
      <c r="G1335" s="237" t="s">
        <v>213</v>
      </c>
    </row>
    <row r="1336" spans="1:9" ht="15.75">
      <c r="A1336" s="243">
        <v>54</v>
      </c>
      <c r="B1336" s="251">
        <f t="shared" si="130"/>
        <v>42244</v>
      </c>
      <c r="C1336" s="228" t="s">
        <v>195</v>
      </c>
      <c r="D1336" s="229" t="s">
        <v>3</v>
      </c>
      <c r="E1336" s="244" t="s">
        <v>171</v>
      </c>
      <c r="F1336" s="236">
        <v>1000000</v>
      </c>
      <c r="G1336" s="237" t="s">
        <v>213</v>
      </c>
    </row>
    <row r="1337" spans="1:9" ht="15.75">
      <c r="A1337" s="243">
        <v>55</v>
      </c>
      <c r="B1337" s="251">
        <f t="shared" si="130"/>
        <v>42244</v>
      </c>
      <c r="C1337" s="228" t="s">
        <v>195</v>
      </c>
      <c r="D1337" s="229" t="s">
        <v>57</v>
      </c>
      <c r="E1337" s="244" t="s">
        <v>357</v>
      </c>
      <c r="F1337" s="236">
        <v>3240000</v>
      </c>
      <c r="G1337" s="237" t="s">
        <v>213</v>
      </c>
    </row>
    <row r="1338" spans="1:9" ht="15.75">
      <c r="A1338" s="243">
        <v>56</v>
      </c>
      <c r="B1338" s="251">
        <f t="shared" si="130"/>
        <v>42244</v>
      </c>
      <c r="C1338" s="228" t="s">
        <v>195</v>
      </c>
      <c r="D1338" s="229" t="s">
        <v>2</v>
      </c>
      <c r="E1338" s="244" t="s">
        <v>186</v>
      </c>
      <c r="F1338" s="236">
        <v>150000</v>
      </c>
      <c r="G1338" s="237" t="s">
        <v>213</v>
      </c>
    </row>
    <row r="1339" spans="1:9" ht="15.75">
      <c r="A1339" s="243">
        <v>57</v>
      </c>
      <c r="B1339" s="251">
        <f t="shared" si="130"/>
        <v>42244</v>
      </c>
      <c r="C1339" s="228" t="s">
        <v>195</v>
      </c>
      <c r="D1339" s="229"/>
      <c r="E1339" s="239" t="s">
        <v>109</v>
      </c>
      <c r="F1339" s="236"/>
      <c r="G1339" s="237" t="s">
        <v>214</v>
      </c>
    </row>
    <row r="1340" spans="1:9" ht="15.75">
      <c r="A1340" s="243">
        <v>58</v>
      </c>
      <c r="B1340" s="251">
        <f t="shared" si="130"/>
        <v>42244</v>
      </c>
      <c r="C1340" s="228" t="s">
        <v>195</v>
      </c>
      <c r="D1340" s="229" t="s">
        <v>2</v>
      </c>
      <c r="E1340" s="244" t="s">
        <v>113</v>
      </c>
      <c r="F1340" s="236">
        <v>490000</v>
      </c>
      <c r="G1340" s="237" t="s">
        <v>214</v>
      </c>
    </row>
    <row r="1341" spans="1:9" ht="15.75">
      <c r="A1341" s="243">
        <v>59</v>
      </c>
      <c r="B1341" s="251">
        <f t="shared" si="130"/>
        <v>42244</v>
      </c>
      <c r="C1341" s="228" t="s">
        <v>195</v>
      </c>
      <c r="D1341" s="229" t="s">
        <v>2</v>
      </c>
      <c r="E1341" s="244" t="s">
        <v>114</v>
      </c>
      <c r="F1341" s="236">
        <v>207000</v>
      </c>
      <c r="G1341" s="237" t="s">
        <v>214</v>
      </c>
    </row>
    <row r="1342" spans="1:9" ht="15.75">
      <c r="A1342" s="243">
        <v>60</v>
      </c>
      <c r="B1342" s="251">
        <f t="shared" si="130"/>
        <v>42244</v>
      </c>
      <c r="C1342" s="228" t="s">
        <v>195</v>
      </c>
      <c r="D1342" s="229" t="s">
        <v>3</v>
      </c>
      <c r="E1342" s="244" t="s">
        <v>115</v>
      </c>
      <c r="F1342" s="236">
        <v>70000</v>
      </c>
      <c r="G1342" s="237" t="s">
        <v>214</v>
      </c>
    </row>
    <row r="1343" spans="1:9" ht="15.75">
      <c r="A1343" s="243">
        <v>61</v>
      </c>
      <c r="B1343" s="251">
        <f>B1342+1</f>
        <v>42245</v>
      </c>
      <c r="C1343" s="228" t="s">
        <v>195</v>
      </c>
      <c r="D1343" s="229"/>
      <c r="E1343" s="239" t="s">
        <v>106</v>
      </c>
      <c r="F1343" s="236"/>
      <c r="G1343" s="237" t="s">
        <v>213</v>
      </c>
      <c r="I1343" s="227" t="s">
        <v>218</v>
      </c>
    </row>
    <row r="1344" spans="1:9" ht="15.75">
      <c r="A1344" s="243">
        <v>62</v>
      </c>
      <c r="B1344" s="251">
        <f>B1343</f>
        <v>42245</v>
      </c>
      <c r="C1344" s="228" t="s">
        <v>195</v>
      </c>
      <c r="D1344" s="229" t="s">
        <v>2</v>
      </c>
      <c r="E1344" s="244" t="s">
        <v>95</v>
      </c>
      <c r="F1344" s="236">
        <v>1800000</v>
      </c>
      <c r="G1344" s="237" t="s">
        <v>213</v>
      </c>
      <c r="H1344" s="279">
        <f>SUBTOTAL(9,F61:F1344)</f>
        <v>2972656550.0000005</v>
      </c>
    </row>
    <row r="1345" spans="1:9" ht="15.75">
      <c r="A1345" s="243">
        <v>63</v>
      </c>
      <c r="B1345" s="251">
        <f t="shared" ref="B1345:B1354" si="131">B1344</f>
        <v>42245</v>
      </c>
      <c r="C1345" s="228" t="s">
        <v>195</v>
      </c>
      <c r="D1345" s="229" t="s">
        <v>2</v>
      </c>
      <c r="E1345" s="244" t="s">
        <v>102</v>
      </c>
      <c r="F1345" s="236">
        <v>300000</v>
      </c>
      <c r="G1345" s="237" t="s">
        <v>213</v>
      </c>
    </row>
    <row r="1346" spans="1:9" ht="15.75">
      <c r="A1346" s="243">
        <v>64</v>
      </c>
      <c r="B1346" s="251">
        <f t="shared" si="131"/>
        <v>42245</v>
      </c>
      <c r="C1346" s="228" t="s">
        <v>195</v>
      </c>
      <c r="D1346" s="229" t="s">
        <v>3</v>
      </c>
      <c r="E1346" s="244" t="s">
        <v>79</v>
      </c>
      <c r="F1346" s="236">
        <v>200000</v>
      </c>
      <c r="G1346" s="237" t="s">
        <v>213</v>
      </c>
    </row>
    <row r="1347" spans="1:9" ht="15.75">
      <c r="A1347" s="243">
        <v>65</v>
      </c>
      <c r="B1347" s="251">
        <f t="shared" si="131"/>
        <v>42245</v>
      </c>
      <c r="C1347" s="228" t="s">
        <v>195</v>
      </c>
      <c r="D1347" s="229" t="s">
        <v>57</v>
      </c>
      <c r="E1347" s="244" t="s">
        <v>99</v>
      </c>
      <c r="F1347" s="236">
        <v>140000</v>
      </c>
      <c r="G1347" s="237" t="s">
        <v>213</v>
      </c>
    </row>
    <row r="1348" spans="1:9" ht="15.75">
      <c r="A1348" s="243">
        <v>66</v>
      </c>
      <c r="B1348" s="251">
        <f t="shared" si="131"/>
        <v>42245</v>
      </c>
      <c r="C1348" s="228" t="s">
        <v>195</v>
      </c>
      <c r="D1348" s="229" t="s">
        <v>3</v>
      </c>
      <c r="E1348" s="244" t="s">
        <v>171</v>
      </c>
      <c r="F1348" s="236">
        <v>1000000</v>
      </c>
      <c r="G1348" s="237" t="s">
        <v>213</v>
      </c>
    </row>
    <row r="1349" spans="1:9" ht="15.75">
      <c r="A1349" s="243">
        <v>67</v>
      </c>
      <c r="B1349" s="251">
        <f t="shared" si="131"/>
        <v>42245</v>
      </c>
      <c r="C1349" s="228" t="s">
        <v>195</v>
      </c>
      <c r="D1349" s="229" t="s">
        <v>57</v>
      </c>
      <c r="E1349" s="244" t="s">
        <v>357</v>
      </c>
      <c r="F1349" s="236">
        <v>3240000</v>
      </c>
      <c r="G1349" s="237" t="s">
        <v>213</v>
      </c>
    </row>
    <row r="1350" spans="1:9" ht="15.75">
      <c r="A1350" s="243">
        <v>68</v>
      </c>
      <c r="B1350" s="251">
        <f t="shared" si="131"/>
        <v>42245</v>
      </c>
      <c r="C1350" s="228" t="s">
        <v>195</v>
      </c>
      <c r="D1350" s="229" t="s">
        <v>2</v>
      </c>
      <c r="E1350" s="244" t="s">
        <v>186</v>
      </c>
      <c r="F1350" s="236">
        <v>150000</v>
      </c>
      <c r="G1350" s="237" t="s">
        <v>213</v>
      </c>
    </row>
    <row r="1351" spans="1:9" ht="15.75">
      <c r="A1351" s="243">
        <v>69</v>
      </c>
      <c r="B1351" s="251">
        <f t="shared" si="131"/>
        <v>42245</v>
      </c>
      <c r="C1351" s="228" t="s">
        <v>195</v>
      </c>
      <c r="D1351" s="229"/>
      <c r="E1351" s="239" t="s">
        <v>109</v>
      </c>
      <c r="F1351" s="236"/>
      <c r="G1351" s="237" t="s">
        <v>214</v>
      </c>
    </row>
    <row r="1352" spans="1:9" ht="15.75">
      <c r="A1352" s="243">
        <v>70</v>
      </c>
      <c r="B1352" s="251">
        <f t="shared" si="131"/>
        <v>42245</v>
      </c>
      <c r="C1352" s="228" t="s">
        <v>195</v>
      </c>
      <c r="D1352" s="229" t="s">
        <v>2</v>
      </c>
      <c r="E1352" s="244" t="s">
        <v>113</v>
      </c>
      <c r="F1352" s="236">
        <v>490000</v>
      </c>
      <c r="G1352" s="237" t="s">
        <v>214</v>
      </c>
    </row>
    <row r="1353" spans="1:9" ht="15.75">
      <c r="A1353" s="243">
        <v>71</v>
      </c>
      <c r="B1353" s="251">
        <f t="shared" si="131"/>
        <v>42245</v>
      </c>
      <c r="C1353" s="228" t="s">
        <v>195</v>
      </c>
      <c r="D1353" s="229" t="s">
        <v>2</v>
      </c>
      <c r="E1353" s="244" t="s">
        <v>114</v>
      </c>
      <c r="F1353" s="236">
        <v>207000</v>
      </c>
      <c r="G1353" s="237" t="s">
        <v>214</v>
      </c>
    </row>
    <row r="1354" spans="1:9" ht="15.75">
      <c r="A1354" s="243">
        <v>72</v>
      </c>
      <c r="B1354" s="251">
        <f t="shared" si="131"/>
        <v>42245</v>
      </c>
      <c r="C1354" s="228" t="s">
        <v>195</v>
      </c>
      <c r="D1354" s="229" t="s">
        <v>3</v>
      </c>
      <c r="E1354" s="244" t="s">
        <v>115</v>
      </c>
      <c r="F1354" s="236">
        <v>70000</v>
      </c>
      <c r="G1354" s="237" t="s">
        <v>214</v>
      </c>
    </row>
    <row r="1355" spans="1:9" ht="15.75">
      <c r="A1355" s="243">
        <v>73</v>
      </c>
      <c r="B1355" s="251">
        <f>B1354+1</f>
        <v>42246</v>
      </c>
      <c r="C1355" s="228" t="s">
        <v>195</v>
      </c>
      <c r="D1355" s="229"/>
      <c r="E1355" s="239" t="s">
        <v>106</v>
      </c>
      <c r="F1355" s="236"/>
      <c r="G1355" s="237" t="s">
        <v>213</v>
      </c>
      <c r="I1355" s="227" t="s">
        <v>218</v>
      </c>
    </row>
    <row r="1356" spans="1:9" ht="15.75">
      <c r="A1356" s="243">
        <v>74</v>
      </c>
      <c r="B1356" s="251">
        <f>B1355</f>
        <v>42246</v>
      </c>
      <c r="C1356" s="228" t="s">
        <v>195</v>
      </c>
      <c r="D1356" s="229" t="s">
        <v>2</v>
      </c>
      <c r="E1356" s="244" t="s">
        <v>95</v>
      </c>
      <c r="F1356" s="236">
        <v>1800000</v>
      </c>
      <c r="G1356" s="237" t="s">
        <v>213</v>
      </c>
      <c r="H1356" s="279">
        <f>SUBTOTAL(9,F72:F1356)</f>
        <v>2972606050.000001</v>
      </c>
    </row>
    <row r="1357" spans="1:9" ht="15.75">
      <c r="A1357" s="243">
        <v>75</v>
      </c>
      <c r="B1357" s="251">
        <f t="shared" ref="B1357:B1366" si="132">B1356</f>
        <v>42246</v>
      </c>
      <c r="C1357" s="228" t="s">
        <v>195</v>
      </c>
      <c r="D1357" s="229" t="s">
        <v>2</v>
      </c>
      <c r="E1357" s="244" t="s">
        <v>102</v>
      </c>
      <c r="F1357" s="236">
        <v>300000</v>
      </c>
      <c r="G1357" s="237" t="s">
        <v>213</v>
      </c>
    </row>
    <row r="1358" spans="1:9" ht="15.75">
      <c r="A1358" s="243">
        <v>76</v>
      </c>
      <c r="B1358" s="251">
        <f t="shared" si="132"/>
        <v>42246</v>
      </c>
      <c r="C1358" s="228" t="s">
        <v>195</v>
      </c>
      <c r="D1358" s="229" t="s">
        <v>3</v>
      </c>
      <c r="E1358" s="244" t="s">
        <v>79</v>
      </c>
      <c r="F1358" s="236">
        <v>200000</v>
      </c>
      <c r="G1358" s="237" t="s">
        <v>213</v>
      </c>
    </row>
    <row r="1359" spans="1:9" ht="15.75">
      <c r="A1359" s="243">
        <v>77</v>
      </c>
      <c r="B1359" s="251">
        <f t="shared" si="132"/>
        <v>42246</v>
      </c>
      <c r="C1359" s="228" t="s">
        <v>195</v>
      </c>
      <c r="D1359" s="229" t="s">
        <v>57</v>
      </c>
      <c r="E1359" s="244" t="s">
        <v>99</v>
      </c>
      <c r="F1359" s="236">
        <v>140000</v>
      </c>
      <c r="G1359" s="237" t="s">
        <v>213</v>
      </c>
    </row>
    <row r="1360" spans="1:9" ht="15.75">
      <c r="A1360" s="243">
        <v>78</v>
      </c>
      <c r="B1360" s="251">
        <f t="shared" si="132"/>
        <v>42246</v>
      </c>
      <c r="C1360" s="228" t="s">
        <v>195</v>
      </c>
      <c r="D1360" s="229" t="s">
        <v>3</v>
      </c>
      <c r="E1360" s="244" t="s">
        <v>171</v>
      </c>
      <c r="F1360" s="236">
        <v>1000000</v>
      </c>
      <c r="G1360" s="237" t="s">
        <v>213</v>
      </c>
    </row>
    <row r="1361" spans="1:9" ht="15.75">
      <c r="A1361" s="243">
        <v>79</v>
      </c>
      <c r="B1361" s="251">
        <f t="shared" si="132"/>
        <v>42246</v>
      </c>
      <c r="C1361" s="228" t="s">
        <v>195</v>
      </c>
      <c r="D1361" s="229" t="s">
        <v>57</v>
      </c>
      <c r="E1361" s="244" t="s">
        <v>357</v>
      </c>
      <c r="F1361" s="236">
        <v>3240000</v>
      </c>
      <c r="G1361" s="237" t="s">
        <v>213</v>
      </c>
    </row>
    <row r="1362" spans="1:9" ht="15.75">
      <c r="A1362" s="243">
        <v>80</v>
      </c>
      <c r="B1362" s="251">
        <f t="shared" si="132"/>
        <v>42246</v>
      </c>
      <c r="C1362" s="228" t="s">
        <v>195</v>
      </c>
      <c r="D1362" s="229" t="s">
        <v>2</v>
      </c>
      <c r="E1362" s="244" t="s">
        <v>186</v>
      </c>
      <c r="F1362" s="236">
        <v>150000</v>
      </c>
      <c r="G1362" s="237" t="s">
        <v>213</v>
      </c>
    </row>
    <row r="1363" spans="1:9" ht="15.75">
      <c r="A1363" s="243">
        <v>81</v>
      </c>
      <c r="B1363" s="251">
        <f t="shared" si="132"/>
        <v>42246</v>
      </c>
      <c r="C1363" s="228" t="s">
        <v>195</v>
      </c>
      <c r="D1363" s="229"/>
      <c r="E1363" s="239" t="s">
        <v>109</v>
      </c>
      <c r="F1363" s="236"/>
      <c r="G1363" s="237" t="s">
        <v>214</v>
      </c>
    </row>
    <row r="1364" spans="1:9" ht="15.75">
      <c r="A1364" s="243">
        <v>82</v>
      </c>
      <c r="B1364" s="251">
        <f t="shared" si="132"/>
        <v>42246</v>
      </c>
      <c r="C1364" s="228" t="s">
        <v>195</v>
      </c>
      <c r="D1364" s="229" t="s">
        <v>2</v>
      </c>
      <c r="E1364" s="244" t="s">
        <v>113</v>
      </c>
      <c r="F1364" s="236">
        <v>490000</v>
      </c>
      <c r="G1364" s="237" t="s">
        <v>214</v>
      </c>
    </row>
    <row r="1365" spans="1:9" ht="15.75">
      <c r="A1365" s="243">
        <v>83</v>
      </c>
      <c r="B1365" s="251">
        <f t="shared" si="132"/>
        <v>42246</v>
      </c>
      <c r="C1365" s="228" t="s">
        <v>195</v>
      </c>
      <c r="D1365" s="229" t="s">
        <v>2</v>
      </c>
      <c r="E1365" s="244" t="s">
        <v>114</v>
      </c>
      <c r="F1365" s="236">
        <v>207000</v>
      </c>
      <c r="G1365" s="237" t="s">
        <v>214</v>
      </c>
    </row>
    <row r="1366" spans="1:9" ht="15.75">
      <c r="A1366" s="243">
        <v>84</v>
      </c>
      <c r="B1366" s="251">
        <f t="shared" si="132"/>
        <v>42246</v>
      </c>
      <c r="C1366" s="228" t="s">
        <v>195</v>
      </c>
      <c r="D1366" s="229" t="s">
        <v>3</v>
      </c>
      <c r="E1366" s="244" t="s">
        <v>115</v>
      </c>
      <c r="F1366" s="236">
        <v>70000</v>
      </c>
      <c r="G1366" s="237" t="s">
        <v>214</v>
      </c>
    </row>
    <row r="1367" spans="1:9" ht="15.75">
      <c r="A1367" s="243">
        <v>85</v>
      </c>
      <c r="B1367" s="251">
        <f>B1366+1</f>
        <v>42247</v>
      </c>
      <c r="C1367" s="228" t="s">
        <v>195</v>
      </c>
      <c r="D1367" s="229"/>
      <c r="E1367" s="239" t="s">
        <v>106</v>
      </c>
      <c r="F1367" s="236"/>
      <c r="G1367" s="237" t="s">
        <v>213</v>
      </c>
      <c r="I1367" s="227" t="s">
        <v>218</v>
      </c>
    </row>
    <row r="1368" spans="1:9" ht="15.75">
      <c r="A1368" s="243">
        <v>86</v>
      </c>
      <c r="B1368" s="251">
        <f>B1367</f>
        <v>42247</v>
      </c>
      <c r="C1368" s="228" t="s">
        <v>195</v>
      </c>
      <c r="D1368" s="229" t="s">
        <v>2</v>
      </c>
      <c r="E1368" s="244" t="s">
        <v>95</v>
      </c>
      <c r="F1368" s="236">
        <v>1800000</v>
      </c>
      <c r="G1368" s="237" t="s">
        <v>213</v>
      </c>
      <c r="H1368" s="279">
        <f>SUBTOTAL(9,F84:F1368)</f>
        <v>2977008050.000001</v>
      </c>
    </row>
    <row r="1369" spans="1:9" ht="15.75">
      <c r="A1369" s="243">
        <v>87</v>
      </c>
      <c r="B1369" s="251">
        <f t="shared" ref="B1369:B1378" si="133">B1368</f>
        <v>42247</v>
      </c>
      <c r="C1369" s="228" t="s">
        <v>195</v>
      </c>
      <c r="D1369" s="229" t="s">
        <v>2</v>
      </c>
      <c r="E1369" s="244" t="s">
        <v>102</v>
      </c>
      <c r="F1369" s="236">
        <v>300000</v>
      </c>
      <c r="G1369" s="237" t="s">
        <v>213</v>
      </c>
    </row>
    <row r="1370" spans="1:9" ht="15.75">
      <c r="A1370" s="243">
        <v>88</v>
      </c>
      <c r="B1370" s="251">
        <f t="shared" si="133"/>
        <v>42247</v>
      </c>
      <c r="C1370" s="228" t="s">
        <v>195</v>
      </c>
      <c r="D1370" s="229" t="s">
        <v>3</v>
      </c>
      <c r="E1370" s="244" t="s">
        <v>79</v>
      </c>
      <c r="F1370" s="236">
        <v>200000</v>
      </c>
      <c r="G1370" s="237" t="s">
        <v>213</v>
      </c>
    </row>
    <row r="1371" spans="1:9" ht="15.75">
      <c r="A1371" s="243">
        <v>89</v>
      </c>
      <c r="B1371" s="251">
        <f t="shared" si="133"/>
        <v>42247</v>
      </c>
      <c r="C1371" s="228" t="s">
        <v>195</v>
      </c>
      <c r="D1371" s="229" t="s">
        <v>57</v>
      </c>
      <c r="E1371" s="244" t="s">
        <v>99</v>
      </c>
      <c r="F1371" s="236">
        <v>140000</v>
      </c>
      <c r="G1371" s="237" t="s">
        <v>213</v>
      </c>
    </row>
    <row r="1372" spans="1:9" ht="15.75">
      <c r="A1372" s="243">
        <v>90</v>
      </c>
      <c r="B1372" s="251">
        <f t="shared" si="133"/>
        <v>42247</v>
      </c>
      <c r="C1372" s="228" t="s">
        <v>195</v>
      </c>
      <c r="D1372" s="229" t="s">
        <v>3</v>
      </c>
      <c r="E1372" s="244" t="s">
        <v>171</v>
      </c>
      <c r="F1372" s="236">
        <v>1000000</v>
      </c>
      <c r="G1372" s="237" t="s">
        <v>213</v>
      </c>
    </row>
    <row r="1373" spans="1:9" ht="15.75">
      <c r="A1373" s="243">
        <v>91</v>
      </c>
      <c r="B1373" s="251">
        <f t="shared" si="133"/>
        <v>42247</v>
      </c>
      <c r="C1373" s="228" t="s">
        <v>195</v>
      </c>
      <c r="D1373" s="229" t="s">
        <v>57</v>
      </c>
      <c r="E1373" s="244" t="s">
        <v>357</v>
      </c>
      <c r="F1373" s="236">
        <v>3240000</v>
      </c>
      <c r="G1373" s="237" t="s">
        <v>213</v>
      </c>
    </row>
    <row r="1374" spans="1:9" ht="15.75">
      <c r="A1374" s="243">
        <v>92</v>
      </c>
      <c r="B1374" s="251">
        <f t="shared" si="133"/>
        <v>42247</v>
      </c>
      <c r="C1374" s="228" t="s">
        <v>195</v>
      </c>
      <c r="D1374" s="229" t="s">
        <v>2</v>
      </c>
      <c r="E1374" s="244" t="s">
        <v>186</v>
      </c>
      <c r="F1374" s="236">
        <v>150000</v>
      </c>
      <c r="G1374" s="237" t="s">
        <v>213</v>
      </c>
      <c r="H1374" s="279">
        <f>SUBTOTAL(9,F1221:F1374)</f>
        <v>177916700</v>
      </c>
      <c r="I1374" s="227" t="s">
        <v>391</v>
      </c>
    </row>
    <row r="1375" spans="1:9" ht="15.75">
      <c r="A1375" s="243">
        <v>93</v>
      </c>
      <c r="B1375" s="251">
        <f t="shared" si="133"/>
        <v>42247</v>
      </c>
      <c r="C1375" s="228" t="s">
        <v>195</v>
      </c>
      <c r="D1375" s="229"/>
      <c r="E1375" s="239" t="s">
        <v>109</v>
      </c>
      <c r="F1375" s="236"/>
      <c r="G1375" s="237" t="s">
        <v>214</v>
      </c>
    </row>
    <row r="1376" spans="1:9" ht="15.75">
      <c r="A1376" s="243">
        <v>94</v>
      </c>
      <c r="B1376" s="251">
        <f t="shared" si="133"/>
        <v>42247</v>
      </c>
      <c r="C1376" s="228" t="s">
        <v>195</v>
      </c>
      <c r="D1376" s="229" t="s">
        <v>2</v>
      </c>
      <c r="E1376" s="244" t="s">
        <v>113</v>
      </c>
      <c r="F1376" s="236">
        <v>490000</v>
      </c>
      <c r="G1376" s="237" t="s">
        <v>214</v>
      </c>
    </row>
    <row r="1377" spans="1:8" ht="15.75">
      <c r="A1377" s="243">
        <v>95</v>
      </c>
      <c r="B1377" s="251">
        <f t="shared" si="133"/>
        <v>42247</v>
      </c>
      <c r="C1377" s="228" t="s">
        <v>195</v>
      </c>
      <c r="D1377" s="229" t="s">
        <v>2</v>
      </c>
      <c r="E1377" s="244" t="s">
        <v>114</v>
      </c>
      <c r="F1377" s="236">
        <v>207000</v>
      </c>
      <c r="G1377" s="237" t="s">
        <v>214</v>
      </c>
    </row>
    <row r="1378" spans="1:8" ht="15.75">
      <c r="A1378" s="243">
        <v>96</v>
      </c>
      <c r="B1378" s="251">
        <f t="shared" si="133"/>
        <v>42247</v>
      </c>
      <c r="C1378" s="228" t="s">
        <v>195</v>
      </c>
      <c r="D1378" s="229" t="s">
        <v>3</v>
      </c>
      <c r="E1378" s="244" t="s">
        <v>115</v>
      </c>
      <c r="F1378" s="236">
        <v>70000</v>
      </c>
      <c r="G1378" s="237" t="s">
        <v>214</v>
      </c>
      <c r="H1378" s="279">
        <f>SUBTOTAL(9,F1229:F1378)</f>
        <v>171853700</v>
      </c>
    </row>
    <row r="1379" spans="1:8" ht="15.75">
      <c r="A1379" s="243">
        <v>97</v>
      </c>
      <c r="B1379" s="251">
        <f>B1378+1</f>
        <v>42248</v>
      </c>
      <c r="C1379" s="228" t="s">
        <v>195</v>
      </c>
      <c r="D1379" s="229"/>
      <c r="E1379" s="239" t="s">
        <v>207</v>
      </c>
      <c r="F1379" s="236"/>
      <c r="G1379" s="237" t="s">
        <v>208</v>
      </c>
    </row>
    <row r="1380" spans="1:8" ht="15.75">
      <c r="A1380" s="243">
        <v>98</v>
      </c>
      <c r="B1380" s="251">
        <f t="shared" ref="B1380:B1386" si="134">B1379</f>
        <v>42248</v>
      </c>
      <c r="C1380" s="228" t="s">
        <v>195</v>
      </c>
      <c r="D1380" s="606" t="s">
        <v>2</v>
      </c>
      <c r="E1380" s="244" t="s">
        <v>382</v>
      </c>
      <c r="F1380" s="607">
        <v>369450</v>
      </c>
      <c r="G1380" s="608" t="s">
        <v>208</v>
      </c>
    </row>
    <row r="1381" spans="1:8" ht="15.75">
      <c r="A1381" s="243">
        <v>99</v>
      </c>
      <c r="B1381" s="251">
        <f t="shared" si="134"/>
        <v>42248</v>
      </c>
      <c r="C1381" s="228" t="s">
        <v>195</v>
      </c>
      <c r="D1381" s="606" t="s">
        <v>2</v>
      </c>
      <c r="E1381" s="244" t="s">
        <v>170</v>
      </c>
      <c r="F1381" s="607">
        <v>1170000</v>
      </c>
      <c r="G1381" s="608" t="s">
        <v>208</v>
      </c>
    </row>
    <row r="1382" spans="1:8" ht="15.75">
      <c r="A1382" s="243">
        <v>100</v>
      </c>
      <c r="B1382" s="251">
        <f t="shared" si="134"/>
        <v>42248</v>
      </c>
      <c r="C1382" s="228" t="s">
        <v>195</v>
      </c>
      <c r="D1382" s="606" t="s">
        <v>57</v>
      </c>
      <c r="E1382" s="244" t="s">
        <v>79</v>
      </c>
      <c r="F1382" s="607">
        <v>150000</v>
      </c>
      <c r="G1382" s="608" t="s">
        <v>208</v>
      </c>
    </row>
    <row r="1383" spans="1:8" ht="15.75">
      <c r="A1383" s="243">
        <v>101</v>
      </c>
      <c r="B1383" s="251">
        <f t="shared" si="134"/>
        <v>42248</v>
      </c>
      <c r="C1383" s="228" t="s">
        <v>195</v>
      </c>
      <c r="D1383" s="606" t="s">
        <v>57</v>
      </c>
      <c r="E1383" s="244" t="s">
        <v>384</v>
      </c>
      <c r="F1383" s="607">
        <v>35000</v>
      </c>
      <c r="G1383" s="608" t="s">
        <v>208</v>
      </c>
    </row>
    <row r="1384" spans="1:8" ht="15.75">
      <c r="A1384" s="243">
        <v>102</v>
      </c>
      <c r="B1384" s="251">
        <f>B1381</f>
        <v>42248</v>
      </c>
      <c r="C1384" s="228" t="s">
        <v>195</v>
      </c>
      <c r="D1384" s="606" t="s">
        <v>3</v>
      </c>
      <c r="E1384" s="244" t="s">
        <v>76</v>
      </c>
      <c r="F1384" s="607">
        <v>300000</v>
      </c>
      <c r="G1384" s="608" t="s">
        <v>208</v>
      </c>
    </row>
    <row r="1385" spans="1:8" ht="15.75">
      <c r="A1385" s="243">
        <v>103</v>
      </c>
      <c r="B1385" s="251">
        <f t="shared" si="134"/>
        <v>42248</v>
      </c>
      <c r="C1385" s="228" t="s">
        <v>195</v>
      </c>
      <c r="D1385" s="606" t="s">
        <v>57</v>
      </c>
      <c r="E1385" s="244" t="s">
        <v>186</v>
      </c>
      <c r="F1385" s="607">
        <v>150000</v>
      </c>
      <c r="G1385" s="608" t="s">
        <v>208</v>
      </c>
    </row>
    <row r="1386" spans="1:8" ht="15.75">
      <c r="A1386" s="243">
        <v>104</v>
      </c>
      <c r="B1386" s="251">
        <f t="shared" si="134"/>
        <v>42248</v>
      </c>
      <c r="C1386" s="228" t="s">
        <v>195</v>
      </c>
      <c r="D1386" s="606" t="s">
        <v>57</v>
      </c>
      <c r="E1386" s="244" t="s">
        <v>313</v>
      </c>
      <c r="F1386" s="607">
        <v>200000</v>
      </c>
      <c r="G1386" s="608" t="s">
        <v>208</v>
      </c>
    </row>
    <row r="1387" spans="1:8" ht="15.75">
      <c r="A1387" s="243">
        <v>105</v>
      </c>
      <c r="B1387" s="251">
        <f>B1386+1</f>
        <v>42249</v>
      </c>
      <c r="C1387" s="228" t="s">
        <v>195</v>
      </c>
      <c r="D1387" s="229"/>
      <c r="E1387" s="239" t="s">
        <v>207</v>
      </c>
      <c r="F1387" s="236"/>
      <c r="G1387" s="237" t="s">
        <v>208</v>
      </c>
    </row>
    <row r="1388" spans="1:8" ht="15.75">
      <c r="A1388" s="243">
        <v>106</v>
      </c>
      <c r="B1388" s="251">
        <f t="shared" ref="B1388:B1394" si="135">B1387</f>
        <v>42249</v>
      </c>
      <c r="C1388" s="228" t="s">
        <v>195</v>
      </c>
      <c r="D1388" s="606" t="s">
        <v>2</v>
      </c>
      <c r="E1388" s="244" t="s">
        <v>382</v>
      </c>
      <c r="F1388" s="607">
        <v>369450</v>
      </c>
      <c r="G1388" s="608" t="s">
        <v>208</v>
      </c>
    </row>
    <row r="1389" spans="1:8" ht="15.75">
      <c r="A1389" s="243">
        <v>107</v>
      </c>
      <c r="B1389" s="251">
        <f t="shared" si="135"/>
        <v>42249</v>
      </c>
      <c r="C1389" s="228" t="s">
        <v>195</v>
      </c>
      <c r="D1389" s="606" t="s">
        <v>2</v>
      </c>
      <c r="E1389" s="244" t="s">
        <v>170</v>
      </c>
      <c r="F1389" s="607">
        <v>1170000</v>
      </c>
      <c r="G1389" s="608" t="s">
        <v>208</v>
      </c>
    </row>
    <row r="1390" spans="1:8" ht="15.75">
      <c r="A1390" s="243">
        <v>108</v>
      </c>
      <c r="B1390" s="251">
        <f t="shared" si="135"/>
        <v>42249</v>
      </c>
      <c r="C1390" s="228" t="s">
        <v>195</v>
      </c>
      <c r="D1390" s="606" t="s">
        <v>57</v>
      </c>
      <c r="E1390" s="244" t="s">
        <v>79</v>
      </c>
      <c r="F1390" s="607">
        <v>150000</v>
      </c>
      <c r="G1390" s="608" t="s">
        <v>208</v>
      </c>
    </row>
    <row r="1391" spans="1:8" ht="15.75">
      <c r="A1391" s="243">
        <v>109</v>
      </c>
      <c r="B1391" s="251">
        <f t="shared" si="135"/>
        <v>42249</v>
      </c>
      <c r="C1391" s="228" t="s">
        <v>195</v>
      </c>
      <c r="D1391" s="606" t="s">
        <v>57</v>
      </c>
      <c r="E1391" s="244" t="s">
        <v>384</v>
      </c>
      <c r="F1391" s="607">
        <v>35000</v>
      </c>
      <c r="G1391" s="608" t="s">
        <v>208</v>
      </c>
    </row>
    <row r="1392" spans="1:8" ht="15.75">
      <c r="A1392" s="243">
        <v>110</v>
      </c>
      <c r="B1392" s="251">
        <f>B1389</f>
        <v>42249</v>
      </c>
      <c r="C1392" s="228" t="s">
        <v>195</v>
      </c>
      <c r="D1392" s="606" t="s">
        <v>3</v>
      </c>
      <c r="E1392" s="244" t="s">
        <v>76</v>
      </c>
      <c r="F1392" s="607">
        <v>300000</v>
      </c>
      <c r="G1392" s="608" t="s">
        <v>208</v>
      </c>
    </row>
    <row r="1393" spans="1:7" ht="15.75">
      <c r="A1393" s="243">
        <v>111</v>
      </c>
      <c r="B1393" s="251">
        <f t="shared" si="135"/>
        <v>42249</v>
      </c>
      <c r="C1393" s="228" t="s">
        <v>195</v>
      </c>
      <c r="D1393" s="606" t="s">
        <v>57</v>
      </c>
      <c r="E1393" s="244" t="s">
        <v>186</v>
      </c>
      <c r="F1393" s="607">
        <v>150000</v>
      </c>
      <c r="G1393" s="608" t="s">
        <v>208</v>
      </c>
    </row>
    <row r="1394" spans="1:7" ht="15.75">
      <c r="A1394" s="243">
        <v>112</v>
      </c>
      <c r="B1394" s="251">
        <f t="shared" si="135"/>
        <v>42249</v>
      </c>
      <c r="C1394" s="228" t="s">
        <v>195</v>
      </c>
      <c r="D1394" s="606" t="s">
        <v>57</v>
      </c>
      <c r="E1394" s="244" t="s">
        <v>313</v>
      </c>
      <c r="F1394" s="607">
        <v>200000</v>
      </c>
      <c r="G1394" s="608" t="s">
        <v>208</v>
      </c>
    </row>
    <row r="1395" spans="1:7" ht="15.75">
      <c r="A1395" s="243">
        <v>113</v>
      </c>
      <c r="B1395" s="251">
        <f>B1394+1</f>
        <v>42250</v>
      </c>
      <c r="C1395" s="228" t="s">
        <v>195</v>
      </c>
      <c r="D1395" s="229"/>
      <c r="E1395" s="239" t="s">
        <v>207</v>
      </c>
      <c r="F1395" s="236"/>
      <c r="G1395" s="237" t="s">
        <v>208</v>
      </c>
    </row>
    <row r="1396" spans="1:7" ht="15.75">
      <c r="A1396" s="243">
        <v>114</v>
      </c>
      <c r="B1396" s="251">
        <f t="shared" ref="B1396:B1402" si="136">B1395</f>
        <v>42250</v>
      </c>
      <c r="C1396" s="228" t="s">
        <v>195</v>
      </c>
      <c r="D1396" s="606" t="s">
        <v>2</v>
      </c>
      <c r="E1396" s="244" t="s">
        <v>382</v>
      </c>
      <c r="F1396" s="607">
        <v>369450</v>
      </c>
      <c r="G1396" s="608" t="s">
        <v>208</v>
      </c>
    </row>
    <row r="1397" spans="1:7" ht="15.75">
      <c r="A1397" s="243">
        <v>115</v>
      </c>
      <c r="B1397" s="251">
        <f t="shared" si="136"/>
        <v>42250</v>
      </c>
      <c r="C1397" s="228" t="s">
        <v>195</v>
      </c>
      <c r="D1397" s="606" t="s">
        <v>2</v>
      </c>
      <c r="E1397" s="244" t="s">
        <v>170</v>
      </c>
      <c r="F1397" s="607">
        <v>1170000</v>
      </c>
      <c r="G1397" s="608" t="s">
        <v>208</v>
      </c>
    </row>
    <row r="1398" spans="1:7" ht="15.75">
      <c r="A1398" s="243">
        <v>116</v>
      </c>
      <c r="B1398" s="251">
        <f t="shared" si="136"/>
        <v>42250</v>
      </c>
      <c r="C1398" s="228" t="s">
        <v>195</v>
      </c>
      <c r="D1398" s="606" t="s">
        <v>57</v>
      </c>
      <c r="E1398" s="244" t="s">
        <v>79</v>
      </c>
      <c r="F1398" s="607">
        <v>150000</v>
      </c>
      <c r="G1398" s="608" t="s">
        <v>208</v>
      </c>
    </row>
    <row r="1399" spans="1:7" ht="15.75">
      <c r="A1399" s="243">
        <v>117</v>
      </c>
      <c r="B1399" s="251">
        <f t="shared" si="136"/>
        <v>42250</v>
      </c>
      <c r="C1399" s="228" t="s">
        <v>195</v>
      </c>
      <c r="D1399" s="606" t="s">
        <v>57</v>
      </c>
      <c r="E1399" s="244" t="s">
        <v>384</v>
      </c>
      <c r="F1399" s="607">
        <v>35000</v>
      </c>
      <c r="G1399" s="608" t="s">
        <v>208</v>
      </c>
    </row>
    <row r="1400" spans="1:7" ht="15.75">
      <c r="A1400" s="243">
        <v>118</v>
      </c>
      <c r="B1400" s="251">
        <f>B1397</f>
        <v>42250</v>
      </c>
      <c r="C1400" s="228" t="s">
        <v>195</v>
      </c>
      <c r="D1400" s="606" t="s">
        <v>3</v>
      </c>
      <c r="E1400" s="244" t="s">
        <v>76</v>
      </c>
      <c r="F1400" s="607">
        <v>300000</v>
      </c>
      <c r="G1400" s="608" t="s">
        <v>208</v>
      </c>
    </row>
    <row r="1401" spans="1:7" ht="15.75">
      <c r="A1401" s="243">
        <v>119</v>
      </c>
      <c r="B1401" s="251">
        <f t="shared" si="136"/>
        <v>42250</v>
      </c>
      <c r="C1401" s="228" t="s">
        <v>195</v>
      </c>
      <c r="D1401" s="606" t="s">
        <v>57</v>
      </c>
      <c r="E1401" s="244" t="s">
        <v>186</v>
      </c>
      <c r="F1401" s="607">
        <v>150000</v>
      </c>
      <c r="G1401" s="608" t="s">
        <v>208</v>
      </c>
    </row>
    <row r="1402" spans="1:7" ht="15.75">
      <c r="A1402" s="243">
        <v>120</v>
      </c>
      <c r="B1402" s="251">
        <f t="shared" si="136"/>
        <v>42250</v>
      </c>
      <c r="C1402" s="228" t="s">
        <v>195</v>
      </c>
      <c r="D1402" s="606" t="s">
        <v>57</v>
      </c>
      <c r="E1402" s="244" t="s">
        <v>313</v>
      </c>
      <c r="F1402" s="607">
        <v>200000</v>
      </c>
      <c r="G1402" s="608" t="s">
        <v>208</v>
      </c>
    </row>
    <row r="1403" spans="1:7" ht="15.75">
      <c r="A1403" s="243">
        <v>121</v>
      </c>
      <c r="B1403" s="251">
        <f>B1402+1</f>
        <v>42251</v>
      </c>
      <c r="C1403" s="228" t="s">
        <v>195</v>
      </c>
      <c r="D1403" s="229"/>
      <c r="E1403" s="239" t="s">
        <v>207</v>
      </c>
      <c r="F1403" s="236"/>
      <c r="G1403" s="237" t="s">
        <v>208</v>
      </c>
    </row>
    <row r="1404" spans="1:7" ht="15.75">
      <c r="A1404" s="243">
        <v>122</v>
      </c>
      <c r="B1404" s="251">
        <f t="shared" ref="B1404:B1410" si="137">B1403</f>
        <v>42251</v>
      </c>
      <c r="C1404" s="228" t="s">
        <v>195</v>
      </c>
      <c r="D1404" s="606" t="s">
        <v>2</v>
      </c>
      <c r="E1404" s="244" t="s">
        <v>382</v>
      </c>
      <c r="F1404" s="607">
        <v>369450</v>
      </c>
      <c r="G1404" s="608" t="s">
        <v>208</v>
      </c>
    </row>
    <row r="1405" spans="1:7" ht="15.75">
      <c r="A1405" s="243">
        <v>123</v>
      </c>
      <c r="B1405" s="251">
        <f t="shared" si="137"/>
        <v>42251</v>
      </c>
      <c r="C1405" s="228" t="s">
        <v>195</v>
      </c>
      <c r="D1405" s="606" t="s">
        <v>2</v>
      </c>
      <c r="E1405" s="244" t="s">
        <v>170</v>
      </c>
      <c r="F1405" s="607">
        <v>1170000</v>
      </c>
      <c r="G1405" s="608" t="s">
        <v>208</v>
      </c>
    </row>
    <row r="1406" spans="1:7" ht="15.75">
      <c r="A1406" s="243">
        <v>124</v>
      </c>
      <c r="B1406" s="251">
        <f t="shared" si="137"/>
        <v>42251</v>
      </c>
      <c r="C1406" s="228" t="s">
        <v>195</v>
      </c>
      <c r="D1406" s="606" t="s">
        <v>57</v>
      </c>
      <c r="E1406" s="244" t="s">
        <v>79</v>
      </c>
      <c r="F1406" s="607">
        <v>150000</v>
      </c>
      <c r="G1406" s="608" t="s">
        <v>208</v>
      </c>
    </row>
    <row r="1407" spans="1:7" ht="15.75">
      <c r="A1407" s="243">
        <v>125</v>
      </c>
      <c r="B1407" s="251">
        <f t="shared" si="137"/>
        <v>42251</v>
      </c>
      <c r="C1407" s="228" t="s">
        <v>195</v>
      </c>
      <c r="D1407" s="606" t="s">
        <v>57</v>
      </c>
      <c r="E1407" s="244" t="s">
        <v>384</v>
      </c>
      <c r="F1407" s="607">
        <v>35000</v>
      </c>
      <c r="G1407" s="608" t="s">
        <v>208</v>
      </c>
    </row>
    <row r="1408" spans="1:7" ht="15.75">
      <c r="A1408" s="243">
        <v>126</v>
      </c>
      <c r="B1408" s="251">
        <f t="shared" si="137"/>
        <v>42251</v>
      </c>
      <c r="C1408" s="228" t="s">
        <v>195</v>
      </c>
      <c r="D1408" s="606" t="s">
        <v>3</v>
      </c>
      <c r="E1408" s="244" t="s">
        <v>76</v>
      </c>
      <c r="F1408" s="607">
        <v>300000</v>
      </c>
      <c r="G1408" s="608" t="s">
        <v>208</v>
      </c>
    </row>
    <row r="1409" spans="1:7" ht="15.75">
      <c r="A1409" s="243">
        <v>127</v>
      </c>
      <c r="B1409" s="251">
        <f t="shared" si="137"/>
        <v>42251</v>
      </c>
      <c r="C1409" s="228" t="s">
        <v>195</v>
      </c>
      <c r="D1409" s="606" t="s">
        <v>57</v>
      </c>
      <c r="E1409" s="244" t="s">
        <v>186</v>
      </c>
      <c r="F1409" s="607">
        <v>150000</v>
      </c>
      <c r="G1409" s="608" t="s">
        <v>208</v>
      </c>
    </row>
    <row r="1410" spans="1:7" ht="15.75">
      <c r="A1410" s="243">
        <v>128</v>
      </c>
      <c r="B1410" s="251">
        <f t="shared" si="137"/>
        <v>42251</v>
      </c>
      <c r="C1410" s="228" t="s">
        <v>195</v>
      </c>
      <c r="D1410" s="606" t="s">
        <v>57</v>
      </c>
      <c r="E1410" s="244" t="s">
        <v>313</v>
      </c>
      <c r="F1410" s="607">
        <v>200000</v>
      </c>
      <c r="G1410" s="608" t="s">
        <v>208</v>
      </c>
    </row>
    <row r="1411" spans="1:7" ht="15.75">
      <c r="A1411" s="243">
        <v>129</v>
      </c>
      <c r="B1411" s="251">
        <f>B1410+1</f>
        <v>42252</v>
      </c>
      <c r="C1411" s="228" t="s">
        <v>195</v>
      </c>
      <c r="D1411" s="229"/>
      <c r="E1411" s="239" t="s">
        <v>207</v>
      </c>
      <c r="F1411" s="236"/>
      <c r="G1411" s="237" t="s">
        <v>208</v>
      </c>
    </row>
    <row r="1412" spans="1:7" ht="15.75">
      <c r="A1412" s="243">
        <v>130</v>
      </c>
      <c r="B1412" s="251">
        <f t="shared" ref="B1412:B1418" si="138">B1411</f>
        <v>42252</v>
      </c>
      <c r="C1412" s="228" t="s">
        <v>195</v>
      </c>
      <c r="D1412" s="606" t="s">
        <v>2</v>
      </c>
      <c r="E1412" s="244" t="s">
        <v>382</v>
      </c>
      <c r="F1412" s="607">
        <v>369450</v>
      </c>
      <c r="G1412" s="608" t="s">
        <v>208</v>
      </c>
    </row>
    <row r="1413" spans="1:7" ht="15.75">
      <c r="A1413" s="243">
        <v>131</v>
      </c>
      <c r="B1413" s="251">
        <f t="shared" si="138"/>
        <v>42252</v>
      </c>
      <c r="C1413" s="228" t="s">
        <v>195</v>
      </c>
      <c r="D1413" s="606" t="s">
        <v>2</v>
      </c>
      <c r="E1413" s="244" t="s">
        <v>170</v>
      </c>
      <c r="F1413" s="607">
        <v>1170000</v>
      </c>
      <c r="G1413" s="608" t="s">
        <v>208</v>
      </c>
    </row>
    <row r="1414" spans="1:7" ht="15.75">
      <c r="A1414" s="243">
        <v>132</v>
      </c>
      <c r="B1414" s="251">
        <f t="shared" si="138"/>
        <v>42252</v>
      </c>
      <c r="C1414" s="228" t="s">
        <v>195</v>
      </c>
      <c r="D1414" s="606" t="s">
        <v>57</v>
      </c>
      <c r="E1414" s="244" t="s">
        <v>79</v>
      </c>
      <c r="F1414" s="607">
        <v>150000</v>
      </c>
      <c r="G1414" s="608" t="s">
        <v>208</v>
      </c>
    </row>
    <row r="1415" spans="1:7" ht="15.75">
      <c r="A1415" s="243">
        <v>133</v>
      </c>
      <c r="B1415" s="251">
        <f t="shared" si="138"/>
        <v>42252</v>
      </c>
      <c r="C1415" s="228" t="s">
        <v>195</v>
      </c>
      <c r="D1415" s="606" t="s">
        <v>57</v>
      </c>
      <c r="E1415" s="244" t="s">
        <v>384</v>
      </c>
      <c r="F1415" s="607">
        <v>35000</v>
      </c>
      <c r="G1415" s="608" t="s">
        <v>208</v>
      </c>
    </row>
    <row r="1416" spans="1:7" ht="15.75">
      <c r="A1416" s="243">
        <v>134</v>
      </c>
      <c r="B1416" s="251">
        <f t="shared" si="138"/>
        <v>42252</v>
      </c>
      <c r="C1416" s="228" t="s">
        <v>195</v>
      </c>
      <c r="D1416" s="606" t="s">
        <v>3</v>
      </c>
      <c r="E1416" s="244" t="s">
        <v>76</v>
      </c>
      <c r="F1416" s="607">
        <v>300000</v>
      </c>
      <c r="G1416" s="608" t="s">
        <v>208</v>
      </c>
    </row>
    <row r="1417" spans="1:7" ht="15.75">
      <c r="A1417" s="243">
        <v>135</v>
      </c>
      <c r="B1417" s="251">
        <f t="shared" si="138"/>
        <v>42252</v>
      </c>
      <c r="C1417" s="228" t="s">
        <v>195</v>
      </c>
      <c r="D1417" s="606" t="s">
        <v>57</v>
      </c>
      <c r="E1417" s="244" t="s">
        <v>186</v>
      </c>
      <c r="F1417" s="607">
        <v>150000</v>
      </c>
      <c r="G1417" s="608" t="s">
        <v>208</v>
      </c>
    </row>
    <row r="1418" spans="1:7" ht="15.75">
      <c r="A1418" s="243">
        <v>136</v>
      </c>
      <c r="B1418" s="251">
        <f t="shared" si="138"/>
        <v>42252</v>
      </c>
      <c r="C1418" s="228" t="s">
        <v>195</v>
      </c>
      <c r="D1418" s="606" t="s">
        <v>57</v>
      </c>
      <c r="E1418" s="244" t="s">
        <v>313</v>
      </c>
      <c r="F1418" s="607">
        <v>200000</v>
      </c>
      <c r="G1418" s="608" t="s">
        <v>208</v>
      </c>
    </row>
    <row r="1419" spans="1:7" ht="15.75">
      <c r="A1419" s="243">
        <v>137</v>
      </c>
      <c r="B1419" s="251">
        <f>B1418+1</f>
        <v>42253</v>
      </c>
      <c r="C1419" s="228" t="s">
        <v>195</v>
      </c>
      <c r="D1419" s="229"/>
      <c r="E1419" s="239" t="s">
        <v>207</v>
      </c>
      <c r="F1419" s="236"/>
      <c r="G1419" s="237" t="s">
        <v>208</v>
      </c>
    </row>
    <row r="1420" spans="1:7" ht="15.75">
      <c r="A1420" s="243">
        <v>138</v>
      </c>
      <c r="B1420" s="251">
        <f t="shared" ref="B1420:B1426" si="139">B1419</f>
        <v>42253</v>
      </c>
      <c r="C1420" s="228" t="s">
        <v>195</v>
      </c>
      <c r="D1420" s="606" t="s">
        <v>2</v>
      </c>
      <c r="E1420" s="244" t="s">
        <v>382</v>
      </c>
      <c r="F1420" s="607">
        <v>369450</v>
      </c>
      <c r="G1420" s="608" t="s">
        <v>208</v>
      </c>
    </row>
    <row r="1421" spans="1:7" ht="15.75">
      <c r="A1421" s="243">
        <v>139</v>
      </c>
      <c r="B1421" s="251">
        <f t="shared" si="139"/>
        <v>42253</v>
      </c>
      <c r="C1421" s="228" t="s">
        <v>195</v>
      </c>
      <c r="D1421" s="606" t="s">
        <v>2</v>
      </c>
      <c r="E1421" s="244" t="s">
        <v>170</v>
      </c>
      <c r="F1421" s="607">
        <v>1170000</v>
      </c>
      <c r="G1421" s="608" t="s">
        <v>208</v>
      </c>
    </row>
    <row r="1422" spans="1:7" ht="15.75">
      <c r="A1422" s="243">
        <v>140</v>
      </c>
      <c r="B1422" s="251">
        <f t="shared" si="139"/>
        <v>42253</v>
      </c>
      <c r="C1422" s="228" t="s">
        <v>195</v>
      </c>
      <c r="D1422" s="606" t="s">
        <v>57</v>
      </c>
      <c r="E1422" s="244" t="s">
        <v>79</v>
      </c>
      <c r="F1422" s="607">
        <v>150000</v>
      </c>
      <c r="G1422" s="608" t="s">
        <v>208</v>
      </c>
    </row>
    <row r="1423" spans="1:7" ht="15.75">
      <c r="A1423" s="243">
        <v>141</v>
      </c>
      <c r="B1423" s="251">
        <f>B1420</f>
        <v>42253</v>
      </c>
      <c r="C1423" s="228" t="s">
        <v>195</v>
      </c>
      <c r="D1423" s="606" t="s">
        <v>57</v>
      </c>
      <c r="E1423" s="244" t="s">
        <v>384</v>
      </c>
      <c r="F1423" s="607">
        <v>35000</v>
      </c>
      <c r="G1423" s="608" t="s">
        <v>208</v>
      </c>
    </row>
    <row r="1424" spans="1:7" ht="15.75">
      <c r="A1424" s="243">
        <v>142</v>
      </c>
      <c r="B1424" s="251">
        <f t="shared" si="139"/>
        <v>42253</v>
      </c>
      <c r="C1424" s="228" t="s">
        <v>195</v>
      </c>
      <c r="D1424" s="606" t="s">
        <v>3</v>
      </c>
      <c r="E1424" s="244" t="s">
        <v>76</v>
      </c>
      <c r="F1424" s="607">
        <v>300000</v>
      </c>
      <c r="G1424" s="608" t="s">
        <v>208</v>
      </c>
    </row>
    <row r="1425" spans="1:9" ht="15.75">
      <c r="A1425" s="243">
        <v>143</v>
      </c>
      <c r="B1425" s="251">
        <f t="shared" si="139"/>
        <v>42253</v>
      </c>
      <c r="C1425" s="228" t="s">
        <v>195</v>
      </c>
      <c r="D1425" s="606" t="s">
        <v>57</v>
      </c>
      <c r="E1425" s="244" t="s">
        <v>186</v>
      </c>
      <c r="F1425" s="607">
        <v>150000</v>
      </c>
      <c r="G1425" s="608" t="s">
        <v>208</v>
      </c>
    </row>
    <row r="1426" spans="1:9" ht="15.75">
      <c r="A1426" s="243">
        <v>144</v>
      </c>
      <c r="B1426" s="251">
        <f t="shared" si="139"/>
        <v>42253</v>
      </c>
      <c r="C1426" s="228" t="s">
        <v>195</v>
      </c>
      <c r="D1426" s="606" t="s">
        <v>57</v>
      </c>
      <c r="E1426" s="244" t="s">
        <v>313</v>
      </c>
      <c r="F1426" s="607">
        <v>200000</v>
      </c>
      <c r="G1426" s="608" t="s">
        <v>208</v>
      </c>
    </row>
    <row r="1427" spans="1:9" ht="15.75">
      <c r="A1427" s="243">
        <v>145</v>
      </c>
      <c r="B1427" s="251">
        <f>B1426</f>
        <v>42253</v>
      </c>
      <c r="C1427" s="228" t="s">
        <v>195</v>
      </c>
      <c r="D1427" s="229" t="s">
        <v>57</v>
      </c>
      <c r="E1427" s="230" t="s">
        <v>226</v>
      </c>
      <c r="F1427" s="236">
        <f>5*35000*14</f>
        <v>2450000</v>
      </c>
      <c r="G1427" s="237" t="s">
        <v>225</v>
      </c>
      <c r="H1427" s="227">
        <v>14</v>
      </c>
    </row>
    <row r="1429" spans="1:9" s="269" customFormat="1" ht="15">
      <c r="A1429" s="262"/>
      <c r="B1429" s="263" t="s">
        <v>189</v>
      </c>
      <c r="C1429" s="264">
        <f>B1427+1</f>
        <v>42254</v>
      </c>
      <c r="D1429" s="264">
        <f>C1429+13</f>
        <v>42267</v>
      </c>
      <c r="E1429" s="265"/>
      <c r="F1429" s="266">
        <f>SUM(F1430:F1552)</f>
        <v>98367800</v>
      </c>
      <c r="G1429" s="267" t="s">
        <v>251</v>
      </c>
      <c r="H1429" s="268"/>
      <c r="I1429" s="227"/>
    </row>
    <row r="1430" spans="1:9" ht="15.75">
      <c r="A1430" s="243">
        <v>1</v>
      </c>
      <c r="B1430" s="251">
        <f>B1426+1</f>
        <v>42254</v>
      </c>
      <c r="C1430" s="228" t="s">
        <v>195</v>
      </c>
      <c r="D1430" s="229"/>
      <c r="E1430" s="239" t="s">
        <v>207</v>
      </c>
      <c r="F1430" s="236"/>
      <c r="G1430" s="237" t="s">
        <v>208</v>
      </c>
      <c r="H1430" s="233"/>
    </row>
    <row r="1431" spans="1:9" ht="15.75">
      <c r="A1431" s="243">
        <v>2</v>
      </c>
      <c r="B1431" s="251">
        <f t="shared" ref="B1431:B1437" si="140">B1430</f>
        <v>42254</v>
      </c>
      <c r="C1431" s="228" t="s">
        <v>195</v>
      </c>
      <c r="D1431" s="606" t="s">
        <v>2</v>
      </c>
      <c r="E1431" s="244" t="s">
        <v>382</v>
      </c>
      <c r="F1431" s="607">
        <v>369450</v>
      </c>
      <c r="G1431" s="608" t="s">
        <v>208</v>
      </c>
      <c r="H1431" s="226"/>
    </row>
    <row r="1432" spans="1:9" ht="15.75">
      <c r="A1432" s="243">
        <v>3</v>
      </c>
      <c r="B1432" s="251">
        <f t="shared" si="140"/>
        <v>42254</v>
      </c>
      <c r="C1432" s="228" t="s">
        <v>195</v>
      </c>
      <c r="D1432" s="606" t="s">
        <v>2</v>
      </c>
      <c r="E1432" s="244" t="s">
        <v>170</v>
      </c>
      <c r="F1432" s="607">
        <v>1170000</v>
      </c>
      <c r="G1432" s="608" t="s">
        <v>208</v>
      </c>
      <c r="H1432" s="226"/>
    </row>
    <row r="1433" spans="1:9" ht="15.75">
      <c r="A1433" s="243">
        <v>4</v>
      </c>
      <c r="B1433" s="251">
        <f t="shared" si="140"/>
        <v>42254</v>
      </c>
      <c r="C1433" s="228" t="s">
        <v>195</v>
      </c>
      <c r="D1433" s="606" t="s">
        <v>57</v>
      </c>
      <c r="E1433" s="244" t="s">
        <v>79</v>
      </c>
      <c r="F1433" s="607">
        <v>150000</v>
      </c>
      <c r="G1433" s="608" t="s">
        <v>208</v>
      </c>
    </row>
    <row r="1434" spans="1:9" ht="15.75">
      <c r="A1434" s="243">
        <v>5</v>
      </c>
      <c r="B1434" s="251">
        <f t="shared" si="140"/>
        <v>42254</v>
      </c>
      <c r="C1434" s="228" t="s">
        <v>195</v>
      </c>
      <c r="D1434" s="606" t="s">
        <v>57</v>
      </c>
      <c r="E1434" s="244" t="s">
        <v>384</v>
      </c>
      <c r="F1434" s="607">
        <v>35000</v>
      </c>
      <c r="G1434" s="608" t="s">
        <v>208</v>
      </c>
    </row>
    <row r="1435" spans="1:9" ht="15.75">
      <c r="A1435" s="243">
        <v>6</v>
      </c>
      <c r="B1435" s="251">
        <f>B1432</f>
        <v>42254</v>
      </c>
      <c r="C1435" s="228" t="s">
        <v>195</v>
      </c>
      <c r="D1435" s="606" t="s">
        <v>3</v>
      </c>
      <c r="E1435" s="244" t="s">
        <v>76</v>
      </c>
      <c r="F1435" s="607">
        <v>300000</v>
      </c>
      <c r="G1435" s="608" t="s">
        <v>208</v>
      </c>
    </row>
    <row r="1436" spans="1:9" ht="15.75">
      <c r="A1436" s="243">
        <v>7</v>
      </c>
      <c r="B1436" s="251">
        <f t="shared" si="140"/>
        <v>42254</v>
      </c>
      <c r="C1436" s="228" t="s">
        <v>195</v>
      </c>
      <c r="D1436" s="606" t="s">
        <v>57</v>
      </c>
      <c r="E1436" s="244" t="s">
        <v>186</v>
      </c>
      <c r="F1436" s="607">
        <v>150000</v>
      </c>
      <c r="G1436" s="608" t="s">
        <v>208</v>
      </c>
    </row>
    <row r="1437" spans="1:9" ht="15.75">
      <c r="A1437" s="243">
        <v>8</v>
      </c>
      <c r="B1437" s="251">
        <f t="shared" si="140"/>
        <v>42254</v>
      </c>
      <c r="C1437" s="228" t="s">
        <v>195</v>
      </c>
      <c r="D1437" s="606" t="s">
        <v>57</v>
      </c>
      <c r="E1437" s="244" t="s">
        <v>313</v>
      </c>
      <c r="F1437" s="607">
        <v>200000</v>
      </c>
      <c r="G1437" s="608" t="s">
        <v>208</v>
      </c>
    </row>
    <row r="1438" spans="1:9" ht="15.75">
      <c r="A1438" s="243">
        <v>9</v>
      </c>
      <c r="B1438" s="251">
        <f>B1437+1</f>
        <v>42255</v>
      </c>
      <c r="C1438" s="228" t="s">
        <v>195</v>
      </c>
      <c r="D1438" s="229"/>
      <c r="E1438" s="239" t="s">
        <v>207</v>
      </c>
      <c r="F1438" s="236"/>
      <c r="G1438" s="237" t="s">
        <v>208</v>
      </c>
    </row>
    <row r="1439" spans="1:9" ht="15.75">
      <c r="A1439" s="243">
        <v>10</v>
      </c>
      <c r="B1439" s="251">
        <f>B1438</f>
        <v>42255</v>
      </c>
      <c r="C1439" s="228" t="s">
        <v>195</v>
      </c>
      <c r="D1439" s="606" t="s">
        <v>2</v>
      </c>
      <c r="E1439" s="244" t="s">
        <v>382</v>
      </c>
      <c r="F1439" s="607">
        <v>369450</v>
      </c>
      <c r="G1439" s="608" t="s">
        <v>208</v>
      </c>
    </row>
    <row r="1440" spans="1:9" ht="15.75">
      <c r="A1440" s="243">
        <v>11</v>
      </c>
      <c r="B1440" s="251">
        <f t="shared" ref="B1440:B1445" si="141">B1439</f>
        <v>42255</v>
      </c>
      <c r="C1440" s="228" t="s">
        <v>195</v>
      </c>
      <c r="D1440" s="606" t="s">
        <v>2</v>
      </c>
      <c r="E1440" s="244" t="s">
        <v>170</v>
      </c>
      <c r="F1440" s="607">
        <v>1170000</v>
      </c>
      <c r="G1440" s="608" t="s">
        <v>208</v>
      </c>
    </row>
    <row r="1441" spans="1:9" ht="15.75">
      <c r="A1441" s="243">
        <v>12</v>
      </c>
      <c r="B1441" s="251">
        <f t="shared" si="141"/>
        <v>42255</v>
      </c>
      <c r="C1441" s="228" t="s">
        <v>195</v>
      </c>
      <c r="D1441" s="606" t="s">
        <v>57</v>
      </c>
      <c r="E1441" s="244" t="s">
        <v>79</v>
      </c>
      <c r="F1441" s="607">
        <v>150000</v>
      </c>
      <c r="G1441" s="608" t="s">
        <v>208</v>
      </c>
    </row>
    <row r="1442" spans="1:9" ht="15.75">
      <c r="A1442" s="243">
        <v>13</v>
      </c>
      <c r="B1442" s="251">
        <f t="shared" si="141"/>
        <v>42255</v>
      </c>
      <c r="C1442" s="228" t="s">
        <v>195</v>
      </c>
      <c r="D1442" s="606" t="s">
        <v>57</v>
      </c>
      <c r="E1442" s="244" t="s">
        <v>384</v>
      </c>
      <c r="F1442" s="607">
        <v>35000</v>
      </c>
      <c r="G1442" s="608" t="s">
        <v>208</v>
      </c>
    </row>
    <row r="1443" spans="1:9" ht="15.75">
      <c r="A1443" s="243">
        <v>14</v>
      </c>
      <c r="B1443" s="251">
        <f>B1440</f>
        <v>42255</v>
      </c>
      <c r="C1443" s="228" t="s">
        <v>195</v>
      </c>
      <c r="D1443" s="606" t="s">
        <v>3</v>
      </c>
      <c r="E1443" s="244" t="s">
        <v>76</v>
      </c>
      <c r="F1443" s="607">
        <v>300000</v>
      </c>
      <c r="G1443" s="608" t="s">
        <v>208</v>
      </c>
    </row>
    <row r="1444" spans="1:9" ht="15.75">
      <c r="A1444" s="243">
        <v>15</v>
      </c>
      <c r="B1444" s="251">
        <f t="shared" si="141"/>
        <v>42255</v>
      </c>
      <c r="C1444" s="228" t="s">
        <v>195</v>
      </c>
      <c r="D1444" s="606" t="s">
        <v>57</v>
      </c>
      <c r="E1444" s="244" t="s">
        <v>186</v>
      </c>
      <c r="F1444" s="607">
        <v>150000</v>
      </c>
      <c r="G1444" s="608" t="s">
        <v>208</v>
      </c>
      <c r="I1444" s="227" t="s">
        <v>218</v>
      </c>
    </row>
    <row r="1445" spans="1:9" ht="15.75">
      <c r="A1445" s="243">
        <v>16</v>
      </c>
      <c r="B1445" s="251">
        <f t="shared" si="141"/>
        <v>42255</v>
      </c>
      <c r="C1445" s="228" t="s">
        <v>195</v>
      </c>
      <c r="D1445" s="606" t="s">
        <v>57</v>
      </c>
      <c r="E1445" s="244" t="s">
        <v>313</v>
      </c>
      <c r="F1445" s="607">
        <v>200000</v>
      </c>
      <c r="G1445" s="608" t="s">
        <v>208</v>
      </c>
      <c r="H1445" s="279">
        <f>SUBTOTAL(9,F156:F1445)</f>
        <v>3072849000.000001</v>
      </c>
    </row>
    <row r="1446" spans="1:9" ht="15.75">
      <c r="A1446" s="243">
        <v>17</v>
      </c>
      <c r="B1446" s="251">
        <f>B1445+1</f>
        <v>42256</v>
      </c>
      <c r="C1446" s="228" t="s">
        <v>195</v>
      </c>
      <c r="D1446" s="229"/>
      <c r="E1446" s="239" t="s">
        <v>207</v>
      </c>
      <c r="F1446" s="236"/>
      <c r="G1446" s="237" t="s">
        <v>208</v>
      </c>
    </row>
    <row r="1447" spans="1:9" ht="15.75">
      <c r="A1447" s="243">
        <v>18</v>
      </c>
      <c r="B1447" s="251">
        <f t="shared" ref="B1447:B1453" si="142">B1446</f>
        <v>42256</v>
      </c>
      <c r="C1447" s="228" t="s">
        <v>195</v>
      </c>
      <c r="D1447" s="606" t="s">
        <v>2</v>
      </c>
      <c r="E1447" s="244" t="s">
        <v>382</v>
      </c>
      <c r="F1447" s="607">
        <v>369450</v>
      </c>
      <c r="G1447" s="608" t="s">
        <v>208</v>
      </c>
    </row>
    <row r="1448" spans="1:9" ht="15.75">
      <c r="A1448" s="243">
        <v>19</v>
      </c>
      <c r="B1448" s="251">
        <f t="shared" si="142"/>
        <v>42256</v>
      </c>
      <c r="C1448" s="228" t="s">
        <v>195</v>
      </c>
      <c r="D1448" s="606" t="s">
        <v>2</v>
      </c>
      <c r="E1448" s="244" t="s">
        <v>170</v>
      </c>
      <c r="F1448" s="607">
        <v>1170000</v>
      </c>
      <c r="G1448" s="608" t="s">
        <v>208</v>
      </c>
    </row>
    <row r="1449" spans="1:9" ht="15.75">
      <c r="A1449" s="243">
        <v>20</v>
      </c>
      <c r="B1449" s="251">
        <f t="shared" si="142"/>
        <v>42256</v>
      </c>
      <c r="C1449" s="228" t="s">
        <v>195</v>
      </c>
      <c r="D1449" s="606" t="s">
        <v>57</v>
      </c>
      <c r="E1449" s="244" t="s">
        <v>79</v>
      </c>
      <c r="F1449" s="607">
        <v>150000</v>
      </c>
      <c r="G1449" s="608" t="s">
        <v>208</v>
      </c>
    </row>
    <row r="1450" spans="1:9" ht="15.75">
      <c r="A1450" s="243">
        <v>21</v>
      </c>
      <c r="B1450" s="251">
        <f t="shared" si="142"/>
        <v>42256</v>
      </c>
      <c r="C1450" s="228" t="s">
        <v>195</v>
      </c>
      <c r="D1450" s="606" t="s">
        <v>57</v>
      </c>
      <c r="E1450" s="244" t="s">
        <v>384</v>
      </c>
      <c r="F1450" s="607">
        <v>35000</v>
      </c>
      <c r="G1450" s="608" t="s">
        <v>208</v>
      </c>
    </row>
    <row r="1451" spans="1:9" ht="15.75">
      <c r="A1451" s="243">
        <v>22</v>
      </c>
      <c r="B1451" s="251">
        <f>B1448</f>
        <v>42256</v>
      </c>
      <c r="C1451" s="228" t="s">
        <v>195</v>
      </c>
      <c r="D1451" s="606" t="s">
        <v>3</v>
      </c>
      <c r="E1451" s="244" t="s">
        <v>76</v>
      </c>
      <c r="F1451" s="607">
        <v>300000</v>
      </c>
      <c r="G1451" s="608" t="s">
        <v>208</v>
      </c>
    </row>
    <row r="1452" spans="1:9" ht="15.75">
      <c r="A1452" s="243">
        <v>23</v>
      </c>
      <c r="B1452" s="251">
        <f t="shared" si="142"/>
        <v>42256</v>
      </c>
      <c r="C1452" s="228" t="s">
        <v>195</v>
      </c>
      <c r="D1452" s="606" t="s">
        <v>57</v>
      </c>
      <c r="E1452" s="244" t="s">
        <v>186</v>
      </c>
      <c r="F1452" s="607">
        <v>150000</v>
      </c>
      <c r="G1452" s="608" t="s">
        <v>208</v>
      </c>
    </row>
    <row r="1453" spans="1:9" ht="15.75">
      <c r="A1453" s="243">
        <v>24</v>
      </c>
      <c r="B1453" s="251">
        <f t="shared" si="142"/>
        <v>42256</v>
      </c>
      <c r="C1453" s="228" t="s">
        <v>195</v>
      </c>
      <c r="D1453" s="606" t="s">
        <v>57</v>
      </c>
      <c r="E1453" s="244" t="s">
        <v>313</v>
      </c>
      <c r="F1453" s="607">
        <v>200000</v>
      </c>
      <c r="G1453" s="608" t="s">
        <v>208</v>
      </c>
    </row>
    <row r="1454" spans="1:9" ht="15.75">
      <c r="A1454" s="243">
        <v>25</v>
      </c>
      <c r="B1454" s="251">
        <f>B1453+1</f>
        <v>42257</v>
      </c>
      <c r="C1454" s="228" t="s">
        <v>195</v>
      </c>
      <c r="D1454" s="229"/>
      <c r="E1454" s="239" t="s">
        <v>207</v>
      </c>
      <c r="F1454" s="236"/>
      <c r="G1454" s="237" t="s">
        <v>208</v>
      </c>
      <c r="I1454" s="227" t="s">
        <v>218</v>
      </c>
    </row>
    <row r="1455" spans="1:9" ht="15.75">
      <c r="A1455" s="243">
        <v>26</v>
      </c>
      <c r="B1455" s="251">
        <f t="shared" ref="B1455:B1461" si="143">B1454</f>
        <v>42257</v>
      </c>
      <c r="C1455" s="228" t="s">
        <v>195</v>
      </c>
      <c r="D1455" s="606" t="s">
        <v>2</v>
      </c>
      <c r="E1455" s="244" t="s">
        <v>382</v>
      </c>
      <c r="F1455" s="607">
        <v>369450</v>
      </c>
      <c r="G1455" s="608" t="s">
        <v>208</v>
      </c>
      <c r="H1455" s="279">
        <f>SUBTOTAL(9,F170:F1455)</f>
        <v>2904605095.6521759</v>
      </c>
    </row>
    <row r="1456" spans="1:9" ht="15.75">
      <c r="A1456" s="243">
        <v>27</v>
      </c>
      <c r="B1456" s="251">
        <f t="shared" si="143"/>
        <v>42257</v>
      </c>
      <c r="C1456" s="228" t="s">
        <v>195</v>
      </c>
      <c r="D1456" s="606" t="s">
        <v>2</v>
      </c>
      <c r="E1456" s="244" t="s">
        <v>170</v>
      </c>
      <c r="F1456" s="607">
        <v>1170000</v>
      </c>
      <c r="G1456" s="608" t="s">
        <v>208</v>
      </c>
    </row>
    <row r="1457" spans="1:9" ht="15.75">
      <c r="A1457" s="243">
        <v>28</v>
      </c>
      <c r="B1457" s="251">
        <f t="shared" si="143"/>
        <v>42257</v>
      </c>
      <c r="C1457" s="228" t="s">
        <v>195</v>
      </c>
      <c r="D1457" s="606" t="s">
        <v>57</v>
      </c>
      <c r="E1457" s="244" t="s">
        <v>79</v>
      </c>
      <c r="F1457" s="607">
        <v>150000</v>
      </c>
      <c r="G1457" s="608" t="s">
        <v>208</v>
      </c>
    </row>
    <row r="1458" spans="1:9" ht="15.75">
      <c r="A1458" s="243">
        <v>29</v>
      </c>
      <c r="B1458" s="251">
        <f t="shared" si="143"/>
        <v>42257</v>
      </c>
      <c r="C1458" s="228" t="s">
        <v>195</v>
      </c>
      <c r="D1458" s="606" t="s">
        <v>57</v>
      </c>
      <c r="E1458" s="244" t="s">
        <v>384</v>
      </c>
      <c r="F1458" s="607">
        <v>35000</v>
      </c>
      <c r="G1458" s="608" t="s">
        <v>208</v>
      </c>
    </row>
    <row r="1459" spans="1:9" ht="15.75">
      <c r="A1459" s="243">
        <v>30</v>
      </c>
      <c r="B1459" s="251">
        <f t="shared" si="143"/>
        <v>42257</v>
      </c>
      <c r="C1459" s="228" t="s">
        <v>195</v>
      </c>
      <c r="D1459" s="606" t="s">
        <v>3</v>
      </c>
      <c r="E1459" s="244" t="s">
        <v>76</v>
      </c>
      <c r="F1459" s="607">
        <v>300000</v>
      </c>
      <c r="G1459" s="608" t="s">
        <v>208</v>
      </c>
    </row>
    <row r="1460" spans="1:9" ht="15.75">
      <c r="A1460" s="243">
        <v>31</v>
      </c>
      <c r="B1460" s="251">
        <f>B1457</f>
        <v>42257</v>
      </c>
      <c r="C1460" s="228" t="s">
        <v>195</v>
      </c>
      <c r="D1460" s="606" t="s">
        <v>57</v>
      </c>
      <c r="E1460" s="244" t="s">
        <v>186</v>
      </c>
      <c r="F1460" s="607">
        <v>150000</v>
      </c>
      <c r="G1460" s="608" t="s">
        <v>208</v>
      </c>
    </row>
    <row r="1461" spans="1:9" ht="15.75">
      <c r="A1461" s="243">
        <v>32</v>
      </c>
      <c r="B1461" s="251">
        <f t="shared" si="143"/>
        <v>42257</v>
      </c>
      <c r="C1461" s="228" t="s">
        <v>195</v>
      </c>
      <c r="D1461" s="606" t="s">
        <v>57</v>
      </c>
      <c r="E1461" s="244" t="s">
        <v>313</v>
      </c>
      <c r="F1461" s="607">
        <v>200000</v>
      </c>
      <c r="G1461" s="608" t="s">
        <v>208</v>
      </c>
      <c r="H1461" s="279">
        <f>SUBTOTAL(9,F147:F1461)</f>
        <v>3087422350.000001</v>
      </c>
    </row>
    <row r="1462" spans="1:9" ht="15.75">
      <c r="A1462" s="243">
        <v>33</v>
      </c>
      <c r="B1462" s="251">
        <f>B1461+1</f>
        <v>42258</v>
      </c>
      <c r="C1462" s="228" t="str">
        <f>C1461</f>
        <v>P-5E</v>
      </c>
      <c r="D1462" s="229"/>
      <c r="E1462" s="239" t="s">
        <v>157</v>
      </c>
      <c r="F1462" s="236"/>
      <c r="G1462" s="237" t="s">
        <v>215</v>
      </c>
    </row>
    <row r="1463" spans="1:9" ht="15.75">
      <c r="A1463" s="243">
        <v>34</v>
      </c>
      <c r="B1463" s="251">
        <f>B1462</f>
        <v>42258</v>
      </c>
      <c r="C1463" s="228" t="str">
        <f t="shared" ref="C1463:C1469" si="144">C1462</f>
        <v>P-5E</v>
      </c>
      <c r="D1463" s="229" t="s">
        <v>2</v>
      </c>
      <c r="E1463" s="244" t="s">
        <v>170</v>
      </c>
      <c r="F1463" s="236">
        <f>Budget!G187/16</f>
        <v>1170000</v>
      </c>
      <c r="G1463" s="237" t="s">
        <v>215</v>
      </c>
    </row>
    <row r="1464" spans="1:9" ht="15.75">
      <c r="A1464" s="243">
        <v>35</v>
      </c>
      <c r="B1464" s="251">
        <f t="shared" ref="B1464:B1469" si="145">B1463</f>
        <v>42258</v>
      </c>
      <c r="C1464" s="228" t="str">
        <f t="shared" si="144"/>
        <v>P-5E</v>
      </c>
      <c r="D1464" s="229" t="s">
        <v>2</v>
      </c>
      <c r="E1464" s="244" t="s">
        <v>81</v>
      </c>
      <c r="F1464" s="236">
        <f>Budget!G188/16</f>
        <v>207000</v>
      </c>
      <c r="G1464" s="237" t="s">
        <v>215</v>
      </c>
    </row>
    <row r="1465" spans="1:9" ht="15.75">
      <c r="A1465" s="243">
        <v>36</v>
      </c>
      <c r="B1465" s="251">
        <f t="shared" si="145"/>
        <v>42258</v>
      </c>
      <c r="C1465" s="228" t="str">
        <f t="shared" si="144"/>
        <v>P-5E</v>
      </c>
      <c r="D1465" s="229" t="s">
        <v>57</v>
      </c>
      <c r="E1465" s="244" t="s">
        <v>79</v>
      </c>
      <c r="F1465" s="236">
        <f>Budget!G189/16</f>
        <v>200000</v>
      </c>
      <c r="G1465" s="237" t="s">
        <v>215</v>
      </c>
    </row>
    <row r="1466" spans="1:9" ht="15.75">
      <c r="A1466" s="243">
        <v>37</v>
      </c>
      <c r="B1466" s="251">
        <f t="shared" si="145"/>
        <v>42258</v>
      </c>
      <c r="C1466" s="228" t="str">
        <f t="shared" si="144"/>
        <v>P-5E</v>
      </c>
      <c r="D1466" s="229" t="s">
        <v>57</v>
      </c>
      <c r="E1466" s="244" t="s">
        <v>87</v>
      </c>
      <c r="F1466" s="236">
        <f>Budget!G194/16</f>
        <v>70000</v>
      </c>
      <c r="G1466" s="237" t="s">
        <v>215</v>
      </c>
      <c r="I1466" s="227" t="s">
        <v>218</v>
      </c>
    </row>
    <row r="1467" spans="1:9" ht="15.75">
      <c r="A1467" s="243">
        <v>38</v>
      </c>
      <c r="B1467" s="251">
        <f t="shared" si="145"/>
        <v>42258</v>
      </c>
      <c r="C1467" s="228" t="str">
        <f t="shared" si="144"/>
        <v>P-5E</v>
      </c>
      <c r="D1467" s="229" t="s">
        <v>3</v>
      </c>
      <c r="E1467" s="244" t="s">
        <v>76</v>
      </c>
      <c r="F1467" s="236">
        <f>Budget!G195/16</f>
        <v>300000</v>
      </c>
      <c r="G1467" s="237" t="s">
        <v>215</v>
      </c>
      <c r="H1467" s="279">
        <f>SUBTOTAL(9,F180:F1467)</f>
        <v>2905562095.6521759</v>
      </c>
    </row>
    <row r="1468" spans="1:9" ht="15.75">
      <c r="A1468" s="243">
        <v>39</v>
      </c>
      <c r="B1468" s="251">
        <f t="shared" si="145"/>
        <v>42258</v>
      </c>
      <c r="C1468" s="228" t="str">
        <f t="shared" si="144"/>
        <v>P-5E</v>
      </c>
      <c r="D1468" s="229" t="s">
        <v>57</v>
      </c>
      <c r="E1468" s="230" t="s">
        <v>357</v>
      </c>
      <c r="F1468" s="236">
        <f>Budget!G196/16</f>
        <v>6345000</v>
      </c>
      <c r="G1468" s="237" t="s">
        <v>215</v>
      </c>
    </row>
    <row r="1469" spans="1:9" ht="15.75">
      <c r="A1469" s="243">
        <v>40</v>
      </c>
      <c r="B1469" s="251">
        <f t="shared" si="145"/>
        <v>42258</v>
      </c>
      <c r="C1469" s="228" t="str">
        <f t="shared" si="144"/>
        <v>P-5E</v>
      </c>
      <c r="D1469" s="229" t="s">
        <v>2</v>
      </c>
      <c r="E1469" s="244" t="s">
        <v>186</v>
      </c>
      <c r="F1469" s="236">
        <f>Budget!G200/16</f>
        <v>150000</v>
      </c>
      <c r="G1469" s="237" t="s">
        <v>215</v>
      </c>
    </row>
    <row r="1470" spans="1:9" ht="15.75">
      <c r="A1470" s="243">
        <v>41</v>
      </c>
      <c r="B1470" s="251">
        <f>B1469</f>
        <v>42258</v>
      </c>
      <c r="C1470" s="228" t="str">
        <f>C1469</f>
        <v>P-5E</v>
      </c>
      <c r="D1470" s="229" t="s">
        <v>57</v>
      </c>
      <c r="E1470" s="244" t="s">
        <v>313</v>
      </c>
      <c r="F1470" s="236">
        <f>Budget!G201/16</f>
        <v>200000</v>
      </c>
      <c r="G1470" s="237" t="str">
        <f>G1469</f>
        <v>Kelas S</v>
      </c>
    </row>
    <row r="1471" spans="1:9" ht="15.75">
      <c r="A1471" s="243">
        <v>42</v>
      </c>
      <c r="B1471" s="251">
        <f>B1470+1</f>
        <v>42259</v>
      </c>
      <c r="C1471" s="228" t="str">
        <f t="shared" ref="C1471:C1478" si="146">C1470</f>
        <v>P-5E</v>
      </c>
      <c r="D1471" s="229"/>
      <c r="E1471" s="239" t="s">
        <v>157</v>
      </c>
      <c r="F1471" s="236"/>
      <c r="G1471" s="237" t="s">
        <v>215</v>
      </c>
    </row>
    <row r="1472" spans="1:9" ht="15.75">
      <c r="A1472" s="243">
        <v>43</v>
      </c>
      <c r="B1472" s="251">
        <f>B1471</f>
        <v>42259</v>
      </c>
      <c r="C1472" s="228" t="str">
        <f t="shared" si="146"/>
        <v>P-5E</v>
      </c>
      <c r="D1472" s="229" t="s">
        <v>2</v>
      </c>
      <c r="E1472" s="244" t="s">
        <v>170</v>
      </c>
      <c r="F1472" s="236">
        <v>1170000</v>
      </c>
      <c r="G1472" s="237" t="s">
        <v>215</v>
      </c>
    </row>
    <row r="1473" spans="1:9" ht="15.75">
      <c r="A1473" s="243">
        <v>44</v>
      </c>
      <c r="B1473" s="251">
        <f t="shared" ref="B1473:B1478" si="147">B1472</f>
        <v>42259</v>
      </c>
      <c r="C1473" s="228" t="str">
        <f t="shared" si="146"/>
        <v>P-5E</v>
      </c>
      <c r="D1473" s="229" t="s">
        <v>2</v>
      </c>
      <c r="E1473" s="244" t="s">
        <v>81</v>
      </c>
      <c r="F1473" s="236">
        <v>207000</v>
      </c>
      <c r="G1473" s="237" t="s">
        <v>215</v>
      </c>
    </row>
    <row r="1474" spans="1:9" ht="15.75">
      <c r="A1474" s="243">
        <v>45</v>
      </c>
      <c r="B1474" s="251">
        <f t="shared" si="147"/>
        <v>42259</v>
      </c>
      <c r="C1474" s="228" t="str">
        <f t="shared" si="146"/>
        <v>P-5E</v>
      </c>
      <c r="D1474" s="229" t="s">
        <v>57</v>
      </c>
      <c r="E1474" s="244" t="s">
        <v>79</v>
      </c>
      <c r="F1474" s="236">
        <v>200000</v>
      </c>
      <c r="G1474" s="237" t="s">
        <v>215</v>
      </c>
    </row>
    <row r="1475" spans="1:9" ht="15.75">
      <c r="A1475" s="243">
        <v>46</v>
      </c>
      <c r="B1475" s="251">
        <f t="shared" si="147"/>
        <v>42259</v>
      </c>
      <c r="C1475" s="228" t="str">
        <f t="shared" si="146"/>
        <v>P-5E</v>
      </c>
      <c r="D1475" s="229" t="s">
        <v>57</v>
      </c>
      <c r="E1475" s="244" t="s">
        <v>87</v>
      </c>
      <c r="F1475" s="236">
        <v>70000</v>
      </c>
      <c r="G1475" s="237" t="s">
        <v>215</v>
      </c>
    </row>
    <row r="1476" spans="1:9" ht="15.75">
      <c r="A1476" s="243">
        <v>47</v>
      </c>
      <c r="B1476" s="251">
        <f t="shared" si="147"/>
        <v>42259</v>
      </c>
      <c r="C1476" s="228" t="str">
        <f t="shared" si="146"/>
        <v>P-5E</v>
      </c>
      <c r="D1476" s="229" t="s">
        <v>3</v>
      </c>
      <c r="E1476" s="244" t="s">
        <v>76</v>
      </c>
      <c r="F1476" s="236">
        <v>300000</v>
      </c>
      <c r="G1476" s="237" t="s">
        <v>215</v>
      </c>
    </row>
    <row r="1477" spans="1:9" ht="15.75">
      <c r="A1477" s="243">
        <v>48</v>
      </c>
      <c r="B1477" s="251">
        <f t="shared" si="147"/>
        <v>42259</v>
      </c>
      <c r="C1477" s="228" t="str">
        <f t="shared" si="146"/>
        <v>P-5E</v>
      </c>
      <c r="D1477" s="229" t="s">
        <v>57</v>
      </c>
      <c r="E1477" s="230" t="s">
        <v>357</v>
      </c>
      <c r="F1477" s="236">
        <v>6345000</v>
      </c>
      <c r="G1477" s="237" t="s">
        <v>215</v>
      </c>
    </row>
    <row r="1478" spans="1:9" ht="15.75">
      <c r="A1478" s="243">
        <v>49</v>
      </c>
      <c r="B1478" s="251">
        <f t="shared" si="147"/>
        <v>42259</v>
      </c>
      <c r="C1478" s="228" t="str">
        <f t="shared" si="146"/>
        <v>P-5E</v>
      </c>
      <c r="D1478" s="229" t="s">
        <v>2</v>
      </c>
      <c r="E1478" s="244" t="s">
        <v>186</v>
      </c>
      <c r="F1478" s="236">
        <v>150000</v>
      </c>
      <c r="G1478" s="237" t="s">
        <v>215</v>
      </c>
      <c r="I1478" s="227" t="s">
        <v>218</v>
      </c>
    </row>
    <row r="1479" spans="1:9" ht="15.75">
      <c r="A1479" s="243">
        <v>50</v>
      </c>
      <c r="B1479" s="251">
        <f>B1478</f>
        <v>42259</v>
      </c>
      <c r="C1479" s="228" t="str">
        <f>C1478</f>
        <v>P-5E</v>
      </c>
      <c r="D1479" s="229" t="s">
        <v>57</v>
      </c>
      <c r="E1479" s="244" t="s">
        <v>313</v>
      </c>
      <c r="F1479" s="236">
        <v>200000</v>
      </c>
      <c r="G1479" s="237" t="s">
        <v>215</v>
      </c>
      <c r="H1479" s="279">
        <f>SUBTOTAL(9,F192:F1479)</f>
        <v>2916674645.6521759</v>
      </c>
    </row>
    <row r="1480" spans="1:9" ht="15.75">
      <c r="A1480" s="243">
        <v>51</v>
      </c>
      <c r="B1480" s="251">
        <f>B1479+1</f>
        <v>42260</v>
      </c>
      <c r="C1480" s="228" t="str">
        <f t="shared" ref="C1480:C1487" si="148">C1479</f>
        <v>P-5E</v>
      </c>
      <c r="D1480" s="229"/>
      <c r="E1480" s="239" t="s">
        <v>157</v>
      </c>
      <c r="F1480" s="236"/>
      <c r="G1480" s="237" t="s">
        <v>215</v>
      </c>
    </row>
    <row r="1481" spans="1:9" ht="15.75">
      <c r="A1481" s="243">
        <v>52</v>
      </c>
      <c r="B1481" s="251">
        <f>B1480</f>
        <v>42260</v>
      </c>
      <c r="C1481" s="228" t="str">
        <f t="shared" si="148"/>
        <v>P-5E</v>
      </c>
      <c r="D1481" s="229" t="s">
        <v>2</v>
      </c>
      <c r="E1481" s="244" t="s">
        <v>170</v>
      </c>
      <c r="F1481" s="236">
        <v>1170000</v>
      </c>
      <c r="G1481" s="237" t="s">
        <v>215</v>
      </c>
    </row>
    <row r="1482" spans="1:9" ht="15.75">
      <c r="A1482" s="243">
        <v>53</v>
      </c>
      <c r="B1482" s="251">
        <f t="shared" ref="B1482:B1487" si="149">B1481</f>
        <v>42260</v>
      </c>
      <c r="C1482" s="228" t="str">
        <f t="shared" si="148"/>
        <v>P-5E</v>
      </c>
      <c r="D1482" s="229" t="s">
        <v>2</v>
      </c>
      <c r="E1482" s="244" t="s">
        <v>81</v>
      </c>
      <c r="F1482" s="236">
        <v>207000</v>
      </c>
      <c r="G1482" s="237" t="s">
        <v>215</v>
      </c>
    </row>
    <row r="1483" spans="1:9" ht="15.75">
      <c r="A1483" s="243">
        <v>54</v>
      </c>
      <c r="B1483" s="251">
        <f t="shared" si="149"/>
        <v>42260</v>
      </c>
      <c r="C1483" s="228" t="str">
        <f t="shared" si="148"/>
        <v>P-5E</v>
      </c>
      <c r="D1483" s="229" t="s">
        <v>57</v>
      </c>
      <c r="E1483" s="244" t="s">
        <v>79</v>
      </c>
      <c r="F1483" s="236">
        <v>200000</v>
      </c>
      <c r="G1483" s="237" t="s">
        <v>215</v>
      </c>
    </row>
    <row r="1484" spans="1:9" ht="15.75">
      <c r="A1484" s="243">
        <v>55</v>
      </c>
      <c r="B1484" s="251">
        <f t="shared" si="149"/>
        <v>42260</v>
      </c>
      <c r="C1484" s="228" t="str">
        <f t="shared" si="148"/>
        <v>P-5E</v>
      </c>
      <c r="D1484" s="229" t="s">
        <v>57</v>
      </c>
      <c r="E1484" s="244" t="s">
        <v>87</v>
      </c>
      <c r="F1484" s="236">
        <v>70000</v>
      </c>
      <c r="G1484" s="237" t="s">
        <v>215</v>
      </c>
    </row>
    <row r="1485" spans="1:9" ht="15.75">
      <c r="A1485" s="243">
        <v>56</v>
      </c>
      <c r="B1485" s="251">
        <f t="shared" si="149"/>
        <v>42260</v>
      </c>
      <c r="C1485" s="228" t="str">
        <f t="shared" si="148"/>
        <v>P-5E</v>
      </c>
      <c r="D1485" s="229" t="s">
        <v>3</v>
      </c>
      <c r="E1485" s="244" t="s">
        <v>76</v>
      </c>
      <c r="F1485" s="236">
        <v>300000</v>
      </c>
      <c r="G1485" s="237" t="s">
        <v>215</v>
      </c>
    </row>
    <row r="1486" spans="1:9" ht="15.75">
      <c r="A1486" s="243">
        <v>57</v>
      </c>
      <c r="B1486" s="251">
        <f t="shared" si="149"/>
        <v>42260</v>
      </c>
      <c r="C1486" s="228" t="str">
        <f t="shared" si="148"/>
        <v>P-5E</v>
      </c>
      <c r="D1486" s="229" t="s">
        <v>57</v>
      </c>
      <c r="E1486" s="230" t="s">
        <v>357</v>
      </c>
      <c r="F1486" s="236">
        <v>6345000</v>
      </c>
      <c r="G1486" s="237" t="s">
        <v>215</v>
      </c>
    </row>
    <row r="1487" spans="1:9" ht="15.75">
      <c r="A1487" s="243">
        <v>58</v>
      </c>
      <c r="B1487" s="251">
        <f t="shared" si="149"/>
        <v>42260</v>
      </c>
      <c r="C1487" s="228" t="str">
        <f t="shared" si="148"/>
        <v>P-5E</v>
      </c>
      <c r="D1487" s="229" t="s">
        <v>2</v>
      </c>
      <c r="E1487" s="244" t="s">
        <v>186</v>
      </c>
      <c r="F1487" s="236">
        <v>150000</v>
      </c>
      <c r="G1487" s="237" t="s">
        <v>215</v>
      </c>
    </row>
    <row r="1488" spans="1:9" ht="15.75">
      <c r="A1488" s="243">
        <v>59</v>
      </c>
      <c r="B1488" s="251">
        <f>B1487</f>
        <v>42260</v>
      </c>
      <c r="C1488" s="228" t="str">
        <f>C1487</f>
        <v>P-5E</v>
      </c>
      <c r="D1488" s="229" t="s">
        <v>57</v>
      </c>
      <c r="E1488" s="244" t="s">
        <v>313</v>
      </c>
      <c r="F1488" s="236">
        <v>200000</v>
      </c>
      <c r="G1488" s="237" t="s">
        <v>215</v>
      </c>
    </row>
    <row r="1489" spans="1:9" ht="15.75">
      <c r="A1489" s="243">
        <v>60</v>
      </c>
      <c r="B1489" s="251">
        <f>B1488+1</f>
        <v>42261</v>
      </c>
      <c r="C1489" s="228" t="str">
        <f t="shared" ref="C1489:C1496" si="150">C1488</f>
        <v>P-5E</v>
      </c>
      <c r="D1489" s="229"/>
      <c r="E1489" s="239" t="s">
        <v>157</v>
      </c>
      <c r="F1489" s="236"/>
      <c r="G1489" s="237" t="s">
        <v>215</v>
      </c>
    </row>
    <row r="1490" spans="1:9" ht="15.75">
      <c r="A1490" s="243">
        <v>61</v>
      </c>
      <c r="B1490" s="251">
        <f>B1489</f>
        <v>42261</v>
      </c>
      <c r="C1490" s="228" t="str">
        <f t="shared" si="150"/>
        <v>P-5E</v>
      </c>
      <c r="D1490" s="229" t="s">
        <v>2</v>
      </c>
      <c r="E1490" s="244" t="s">
        <v>170</v>
      </c>
      <c r="F1490" s="236">
        <v>1170000</v>
      </c>
      <c r="G1490" s="237" t="s">
        <v>215</v>
      </c>
      <c r="I1490" s="227" t="s">
        <v>218</v>
      </c>
    </row>
    <row r="1491" spans="1:9" ht="15.75">
      <c r="A1491" s="243">
        <v>62</v>
      </c>
      <c r="B1491" s="251">
        <f t="shared" ref="B1491:B1496" si="151">B1490</f>
        <v>42261</v>
      </c>
      <c r="C1491" s="228" t="str">
        <f t="shared" si="150"/>
        <v>P-5E</v>
      </c>
      <c r="D1491" s="229" t="s">
        <v>2</v>
      </c>
      <c r="E1491" s="244" t="s">
        <v>81</v>
      </c>
      <c r="F1491" s="236">
        <v>207000</v>
      </c>
      <c r="G1491" s="237" t="s">
        <v>215</v>
      </c>
      <c r="H1491" s="279">
        <f>SUBTOTAL(9,F204:F1491)</f>
        <v>2923824195.6521759</v>
      </c>
    </row>
    <row r="1492" spans="1:9" ht="15.75">
      <c r="A1492" s="243">
        <v>63</v>
      </c>
      <c r="B1492" s="251">
        <f t="shared" si="151"/>
        <v>42261</v>
      </c>
      <c r="C1492" s="228" t="str">
        <f t="shared" si="150"/>
        <v>P-5E</v>
      </c>
      <c r="D1492" s="229" t="s">
        <v>57</v>
      </c>
      <c r="E1492" s="244" t="s">
        <v>79</v>
      </c>
      <c r="F1492" s="236">
        <v>200000</v>
      </c>
      <c r="G1492" s="237" t="s">
        <v>215</v>
      </c>
    </row>
    <row r="1493" spans="1:9" ht="15.75">
      <c r="A1493" s="243">
        <v>64</v>
      </c>
      <c r="B1493" s="251">
        <f t="shared" si="151"/>
        <v>42261</v>
      </c>
      <c r="C1493" s="228" t="str">
        <f t="shared" si="150"/>
        <v>P-5E</v>
      </c>
      <c r="D1493" s="229" t="s">
        <v>57</v>
      </c>
      <c r="E1493" s="244" t="s">
        <v>87</v>
      </c>
      <c r="F1493" s="236">
        <v>70000</v>
      </c>
      <c r="G1493" s="237" t="s">
        <v>215</v>
      </c>
    </row>
    <row r="1494" spans="1:9" ht="15.75">
      <c r="A1494" s="243">
        <v>65</v>
      </c>
      <c r="B1494" s="251">
        <f t="shared" si="151"/>
        <v>42261</v>
      </c>
      <c r="C1494" s="228" t="str">
        <f t="shared" si="150"/>
        <v>P-5E</v>
      </c>
      <c r="D1494" s="229" t="s">
        <v>3</v>
      </c>
      <c r="E1494" s="244" t="s">
        <v>76</v>
      </c>
      <c r="F1494" s="236">
        <v>300000</v>
      </c>
      <c r="G1494" s="237" t="s">
        <v>215</v>
      </c>
    </row>
    <row r="1495" spans="1:9" ht="15.75">
      <c r="A1495" s="243">
        <v>66</v>
      </c>
      <c r="B1495" s="251">
        <f t="shared" si="151"/>
        <v>42261</v>
      </c>
      <c r="C1495" s="228" t="str">
        <f t="shared" si="150"/>
        <v>P-5E</v>
      </c>
      <c r="D1495" s="229" t="s">
        <v>57</v>
      </c>
      <c r="E1495" s="230" t="s">
        <v>357</v>
      </c>
      <c r="F1495" s="236">
        <v>6345000</v>
      </c>
      <c r="G1495" s="237" t="s">
        <v>215</v>
      </c>
    </row>
    <row r="1496" spans="1:9" ht="15.75">
      <c r="A1496" s="243">
        <v>67</v>
      </c>
      <c r="B1496" s="251">
        <f t="shared" si="151"/>
        <v>42261</v>
      </c>
      <c r="C1496" s="228" t="str">
        <f t="shared" si="150"/>
        <v>P-5E</v>
      </c>
      <c r="D1496" s="229" t="s">
        <v>2</v>
      </c>
      <c r="E1496" s="244" t="s">
        <v>186</v>
      </c>
      <c r="F1496" s="236">
        <v>150000</v>
      </c>
      <c r="G1496" s="237" t="s">
        <v>215</v>
      </c>
    </row>
    <row r="1497" spans="1:9" ht="15.75">
      <c r="A1497" s="243">
        <v>68</v>
      </c>
      <c r="B1497" s="251">
        <f>B1496</f>
        <v>42261</v>
      </c>
      <c r="C1497" s="228" t="str">
        <f>C1496</f>
        <v>P-5E</v>
      </c>
      <c r="D1497" s="229" t="s">
        <v>57</v>
      </c>
      <c r="E1497" s="244" t="s">
        <v>313</v>
      </c>
      <c r="F1497" s="236">
        <v>200000</v>
      </c>
      <c r="G1497" s="237" t="s">
        <v>215</v>
      </c>
    </row>
    <row r="1498" spans="1:9" ht="15.75">
      <c r="A1498" s="243">
        <v>69</v>
      </c>
      <c r="B1498" s="251">
        <f>B1497+1</f>
        <v>42262</v>
      </c>
      <c r="C1498" s="228" t="str">
        <f t="shared" ref="C1498:C1505" si="152">C1497</f>
        <v>P-5E</v>
      </c>
      <c r="D1498" s="229"/>
      <c r="E1498" s="239" t="s">
        <v>157</v>
      </c>
      <c r="F1498" s="236"/>
      <c r="G1498" s="237" t="s">
        <v>215</v>
      </c>
    </row>
    <row r="1499" spans="1:9" ht="15.75">
      <c r="A1499" s="243">
        <v>70</v>
      </c>
      <c r="B1499" s="251">
        <f>B1498</f>
        <v>42262</v>
      </c>
      <c r="C1499" s="228" t="str">
        <f t="shared" si="152"/>
        <v>P-5E</v>
      </c>
      <c r="D1499" s="229" t="s">
        <v>2</v>
      </c>
      <c r="E1499" s="244" t="s">
        <v>170</v>
      </c>
      <c r="F1499" s="236">
        <v>1170000</v>
      </c>
      <c r="G1499" s="237" t="s">
        <v>215</v>
      </c>
    </row>
    <row r="1500" spans="1:9" ht="15.75">
      <c r="A1500" s="243">
        <v>71</v>
      </c>
      <c r="B1500" s="251">
        <f t="shared" ref="B1500:B1505" si="153">B1499</f>
        <v>42262</v>
      </c>
      <c r="C1500" s="228" t="str">
        <f t="shared" si="152"/>
        <v>P-5E</v>
      </c>
      <c r="D1500" s="229" t="s">
        <v>2</v>
      </c>
      <c r="E1500" s="244" t="s">
        <v>81</v>
      </c>
      <c r="F1500" s="236">
        <v>207000</v>
      </c>
      <c r="G1500" s="237" t="s">
        <v>215</v>
      </c>
    </row>
    <row r="1501" spans="1:9" ht="15.75">
      <c r="A1501" s="243">
        <v>72</v>
      </c>
      <c r="B1501" s="251">
        <f t="shared" si="153"/>
        <v>42262</v>
      </c>
      <c r="C1501" s="228" t="str">
        <f t="shared" si="152"/>
        <v>P-5E</v>
      </c>
      <c r="D1501" s="229" t="s">
        <v>57</v>
      </c>
      <c r="E1501" s="244" t="s">
        <v>79</v>
      </c>
      <c r="F1501" s="236">
        <v>200000</v>
      </c>
      <c r="G1501" s="237" t="s">
        <v>215</v>
      </c>
    </row>
    <row r="1502" spans="1:9" ht="15.75">
      <c r="A1502" s="243">
        <v>73</v>
      </c>
      <c r="B1502" s="251">
        <f t="shared" si="153"/>
        <v>42262</v>
      </c>
      <c r="C1502" s="228" t="str">
        <f t="shared" si="152"/>
        <v>P-5E</v>
      </c>
      <c r="D1502" s="229" t="s">
        <v>57</v>
      </c>
      <c r="E1502" s="244" t="s">
        <v>87</v>
      </c>
      <c r="F1502" s="236">
        <v>70000</v>
      </c>
      <c r="G1502" s="237" t="s">
        <v>215</v>
      </c>
      <c r="I1502" s="227" t="s">
        <v>218</v>
      </c>
    </row>
    <row r="1503" spans="1:9" ht="15.75">
      <c r="A1503" s="243">
        <v>74</v>
      </c>
      <c r="B1503" s="251">
        <f t="shared" si="153"/>
        <v>42262</v>
      </c>
      <c r="C1503" s="228" t="str">
        <f t="shared" si="152"/>
        <v>P-5E</v>
      </c>
      <c r="D1503" s="229" t="s">
        <v>3</v>
      </c>
      <c r="E1503" s="244" t="s">
        <v>76</v>
      </c>
      <c r="F1503" s="236">
        <v>300000</v>
      </c>
      <c r="G1503" s="237" t="s">
        <v>215</v>
      </c>
      <c r="H1503" s="279">
        <f>SUBTOTAL(9,F216:F1503)</f>
        <v>2928311745.6521759</v>
      </c>
    </row>
    <row r="1504" spans="1:9" ht="15.75">
      <c r="A1504" s="243">
        <v>75</v>
      </c>
      <c r="B1504" s="251">
        <f t="shared" si="153"/>
        <v>42262</v>
      </c>
      <c r="C1504" s="228" t="str">
        <f t="shared" si="152"/>
        <v>P-5E</v>
      </c>
      <c r="D1504" s="229" t="s">
        <v>57</v>
      </c>
      <c r="E1504" s="230" t="s">
        <v>357</v>
      </c>
      <c r="F1504" s="236">
        <v>6345000</v>
      </c>
      <c r="G1504" s="237" t="s">
        <v>215</v>
      </c>
    </row>
    <row r="1505" spans="1:9" ht="15.75">
      <c r="A1505" s="243">
        <v>76</v>
      </c>
      <c r="B1505" s="251">
        <f t="shared" si="153"/>
        <v>42262</v>
      </c>
      <c r="C1505" s="228" t="str">
        <f t="shared" si="152"/>
        <v>P-5E</v>
      </c>
      <c r="D1505" s="229" t="s">
        <v>2</v>
      </c>
      <c r="E1505" s="244" t="s">
        <v>186</v>
      </c>
      <c r="F1505" s="236">
        <v>150000</v>
      </c>
      <c r="G1505" s="237" t="s">
        <v>215</v>
      </c>
    </row>
    <row r="1506" spans="1:9" ht="15.75">
      <c r="A1506" s="243">
        <v>77</v>
      </c>
      <c r="B1506" s="251">
        <f>B1505</f>
        <v>42262</v>
      </c>
      <c r="C1506" s="228" t="str">
        <f>C1505</f>
        <v>P-5E</v>
      </c>
      <c r="D1506" s="229" t="s">
        <v>57</v>
      </c>
      <c r="E1506" s="244" t="s">
        <v>313</v>
      </c>
      <c r="F1506" s="236">
        <v>200000</v>
      </c>
      <c r="G1506" s="237" t="s">
        <v>215</v>
      </c>
    </row>
    <row r="1507" spans="1:9" ht="15.75">
      <c r="A1507" s="243">
        <v>78</v>
      </c>
      <c r="B1507" s="251">
        <f>B1506+1</f>
        <v>42263</v>
      </c>
      <c r="C1507" s="228" t="str">
        <f t="shared" ref="C1507:C1514" si="154">C1506</f>
        <v>P-5E</v>
      </c>
      <c r="D1507" s="229"/>
      <c r="E1507" s="239" t="s">
        <v>157</v>
      </c>
      <c r="F1507" s="236"/>
      <c r="G1507" s="237" t="s">
        <v>215</v>
      </c>
    </row>
    <row r="1508" spans="1:9" ht="15.75">
      <c r="A1508" s="243">
        <v>79</v>
      </c>
      <c r="B1508" s="251">
        <f>B1507</f>
        <v>42263</v>
      </c>
      <c r="C1508" s="228" t="str">
        <f t="shared" si="154"/>
        <v>P-5E</v>
      </c>
      <c r="D1508" s="229" t="s">
        <v>2</v>
      </c>
      <c r="E1508" s="244" t="s">
        <v>170</v>
      </c>
      <c r="F1508" s="236">
        <v>1170000</v>
      </c>
      <c r="G1508" s="237" t="s">
        <v>215</v>
      </c>
    </row>
    <row r="1509" spans="1:9" ht="15.75">
      <c r="A1509" s="243">
        <v>80</v>
      </c>
      <c r="B1509" s="251">
        <f t="shared" ref="B1509:B1514" si="155">B1508</f>
        <v>42263</v>
      </c>
      <c r="C1509" s="228" t="str">
        <f t="shared" si="154"/>
        <v>P-5E</v>
      </c>
      <c r="D1509" s="229" t="s">
        <v>2</v>
      </c>
      <c r="E1509" s="244" t="s">
        <v>81</v>
      </c>
      <c r="F1509" s="236">
        <v>207000</v>
      </c>
      <c r="G1509" s="237" t="s">
        <v>215</v>
      </c>
    </row>
    <row r="1510" spans="1:9" ht="15.75">
      <c r="A1510" s="243">
        <v>81</v>
      </c>
      <c r="B1510" s="251">
        <f t="shared" si="155"/>
        <v>42263</v>
      </c>
      <c r="C1510" s="228" t="str">
        <f t="shared" si="154"/>
        <v>P-5E</v>
      </c>
      <c r="D1510" s="229" t="s">
        <v>57</v>
      </c>
      <c r="E1510" s="244" t="s">
        <v>79</v>
      </c>
      <c r="F1510" s="236">
        <v>200000</v>
      </c>
      <c r="G1510" s="237" t="s">
        <v>215</v>
      </c>
    </row>
    <row r="1511" spans="1:9" ht="15.75">
      <c r="A1511" s="243">
        <v>82</v>
      </c>
      <c r="B1511" s="251">
        <f t="shared" si="155"/>
        <v>42263</v>
      </c>
      <c r="C1511" s="228" t="str">
        <f t="shared" si="154"/>
        <v>P-5E</v>
      </c>
      <c r="D1511" s="229" t="s">
        <v>57</v>
      </c>
      <c r="E1511" s="244" t="s">
        <v>87</v>
      </c>
      <c r="F1511" s="236">
        <v>70000</v>
      </c>
      <c r="G1511" s="237" t="s">
        <v>215</v>
      </c>
    </row>
    <row r="1512" spans="1:9" ht="15.75">
      <c r="A1512" s="243">
        <v>83</v>
      </c>
      <c r="B1512" s="251">
        <f t="shared" si="155"/>
        <v>42263</v>
      </c>
      <c r="C1512" s="228" t="str">
        <f t="shared" si="154"/>
        <v>P-5E</v>
      </c>
      <c r="D1512" s="229" t="s">
        <v>3</v>
      </c>
      <c r="E1512" s="244" t="s">
        <v>76</v>
      </c>
      <c r="F1512" s="236">
        <v>300000</v>
      </c>
      <c r="G1512" s="237" t="s">
        <v>215</v>
      </c>
    </row>
    <row r="1513" spans="1:9" ht="15.75">
      <c r="A1513" s="243">
        <v>84</v>
      </c>
      <c r="B1513" s="251">
        <f t="shared" si="155"/>
        <v>42263</v>
      </c>
      <c r="C1513" s="228" t="str">
        <f t="shared" si="154"/>
        <v>P-5E</v>
      </c>
      <c r="D1513" s="229" t="s">
        <v>57</v>
      </c>
      <c r="E1513" s="230" t="s">
        <v>357</v>
      </c>
      <c r="F1513" s="236">
        <v>6345000</v>
      </c>
      <c r="G1513" s="237" t="s">
        <v>215</v>
      </c>
    </row>
    <row r="1514" spans="1:9" ht="15.75">
      <c r="A1514" s="243">
        <v>85</v>
      </c>
      <c r="B1514" s="251">
        <f t="shared" si="155"/>
        <v>42263</v>
      </c>
      <c r="C1514" s="228" t="str">
        <f t="shared" si="154"/>
        <v>P-5E</v>
      </c>
      <c r="D1514" s="229" t="s">
        <v>2</v>
      </c>
      <c r="E1514" s="244" t="s">
        <v>186</v>
      </c>
      <c r="F1514" s="236">
        <v>150000</v>
      </c>
      <c r="G1514" s="237" t="s">
        <v>215</v>
      </c>
      <c r="I1514" s="227" t="s">
        <v>218</v>
      </c>
    </row>
    <row r="1515" spans="1:9" ht="15.75">
      <c r="A1515" s="243">
        <v>86</v>
      </c>
      <c r="B1515" s="251">
        <f>B1514</f>
        <v>42263</v>
      </c>
      <c r="C1515" s="228" t="str">
        <f>C1514</f>
        <v>P-5E</v>
      </c>
      <c r="D1515" s="229" t="s">
        <v>57</v>
      </c>
      <c r="E1515" s="244" t="s">
        <v>313</v>
      </c>
      <c r="F1515" s="236">
        <v>200000</v>
      </c>
      <c r="G1515" s="237" t="s">
        <v>215</v>
      </c>
      <c r="H1515" s="279">
        <f>SUBTOTAL(9,F228:F1515)</f>
        <v>2940779295.6521759</v>
      </c>
    </row>
    <row r="1516" spans="1:9" ht="15.75">
      <c r="A1516" s="243">
        <v>87</v>
      </c>
      <c r="B1516" s="251">
        <f>B1515+1</f>
        <v>42264</v>
      </c>
      <c r="C1516" s="228" t="str">
        <f t="shared" ref="C1516:C1523" si="156">C1515</f>
        <v>P-5E</v>
      </c>
      <c r="D1516" s="229"/>
      <c r="E1516" s="239" t="s">
        <v>157</v>
      </c>
      <c r="F1516" s="236"/>
      <c r="G1516" s="237" t="s">
        <v>215</v>
      </c>
    </row>
    <row r="1517" spans="1:9" ht="15.75">
      <c r="A1517" s="243">
        <v>88</v>
      </c>
      <c r="B1517" s="251">
        <f>B1516</f>
        <v>42264</v>
      </c>
      <c r="C1517" s="228" t="str">
        <f t="shared" si="156"/>
        <v>P-5E</v>
      </c>
      <c r="D1517" s="229" t="s">
        <v>2</v>
      </c>
      <c r="E1517" s="244" t="s">
        <v>170</v>
      </c>
      <c r="F1517" s="236">
        <v>1170000</v>
      </c>
      <c r="G1517" s="237" t="s">
        <v>215</v>
      </c>
    </row>
    <row r="1518" spans="1:9" ht="15.75">
      <c r="A1518" s="243">
        <v>89</v>
      </c>
      <c r="B1518" s="251">
        <f t="shared" ref="B1518:B1523" si="157">B1517</f>
        <v>42264</v>
      </c>
      <c r="C1518" s="228" t="str">
        <f t="shared" si="156"/>
        <v>P-5E</v>
      </c>
      <c r="D1518" s="229" t="s">
        <v>2</v>
      </c>
      <c r="E1518" s="244" t="s">
        <v>81</v>
      </c>
      <c r="F1518" s="236">
        <v>207000</v>
      </c>
      <c r="G1518" s="237" t="s">
        <v>215</v>
      </c>
    </row>
    <row r="1519" spans="1:9" ht="15.75">
      <c r="A1519" s="243">
        <v>90</v>
      </c>
      <c r="B1519" s="251">
        <f t="shared" si="157"/>
        <v>42264</v>
      </c>
      <c r="C1519" s="228" t="str">
        <f t="shared" si="156"/>
        <v>P-5E</v>
      </c>
      <c r="D1519" s="229" t="s">
        <v>57</v>
      </c>
      <c r="E1519" s="244" t="s">
        <v>79</v>
      </c>
      <c r="F1519" s="236">
        <v>200000</v>
      </c>
      <c r="G1519" s="237" t="s">
        <v>215</v>
      </c>
    </row>
    <row r="1520" spans="1:9" ht="15.75">
      <c r="A1520" s="243">
        <v>91</v>
      </c>
      <c r="B1520" s="251">
        <f t="shared" si="157"/>
        <v>42264</v>
      </c>
      <c r="C1520" s="228" t="str">
        <f t="shared" si="156"/>
        <v>P-5E</v>
      </c>
      <c r="D1520" s="229" t="s">
        <v>57</v>
      </c>
      <c r="E1520" s="244" t="s">
        <v>87</v>
      </c>
      <c r="F1520" s="236">
        <v>70000</v>
      </c>
      <c r="G1520" s="237" t="s">
        <v>215</v>
      </c>
    </row>
    <row r="1521" spans="1:7" ht="15.75">
      <c r="A1521" s="243">
        <v>92</v>
      </c>
      <c r="B1521" s="251">
        <f t="shared" si="157"/>
        <v>42264</v>
      </c>
      <c r="C1521" s="228" t="str">
        <f t="shared" si="156"/>
        <v>P-5E</v>
      </c>
      <c r="D1521" s="229" t="s">
        <v>3</v>
      </c>
      <c r="E1521" s="244" t="s">
        <v>76</v>
      </c>
      <c r="F1521" s="236">
        <v>300000</v>
      </c>
      <c r="G1521" s="237" t="s">
        <v>215</v>
      </c>
    </row>
    <row r="1522" spans="1:7" ht="15.75">
      <c r="A1522" s="243">
        <v>93</v>
      </c>
      <c r="B1522" s="251">
        <f t="shared" si="157"/>
        <v>42264</v>
      </c>
      <c r="C1522" s="228" t="str">
        <f t="shared" si="156"/>
        <v>P-5E</v>
      </c>
      <c r="D1522" s="229" t="s">
        <v>57</v>
      </c>
      <c r="E1522" s="230" t="s">
        <v>357</v>
      </c>
      <c r="F1522" s="236">
        <v>6345000</v>
      </c>
      <c r="G1522" s="237" t="s">
        <v>215</v>
      </c>
    </row>
    <row r="1523" spans="1:7" ht="15.75">
      <c r="A1523" s="243">
        <v>94</v>
      </c>
      <c r="B1523" s="251">
        <f t="shared" si="157"/>
        <v>42264</v>
      </c>
      <c r="C1523" s="228" t="str">
        <f t="shared" si="156"/>
        <v>P-5E</v>
      </c>
      <c r="D1523" s="229" t="s">
        <v>2</v>
      </c>
      <c r="E1523" s="244" t="s">
        <v>186</v>
      </c>
      <c r="F1523" s="236">
        <v>150000</v>
      </c>
      <c r="G1523" s="237" t="s">
        <v>215</v>
      </c>
    </row>
    <row r="1524" spans="1:7" ht="15.75">
      <c r="A1524" s="243">
        <v>95</v>
      </c>
      <c r="B1524" s="251">
        <f>B1523</f>
        <v>42264</v>
      </c>
      <c r="C1524" s="228" t="str">
        <f>C1523</f>
        <v>P-5E</v>
      </c>
      <c r="D1524" s="229" t="s">
        <v>57</v>
      </c>
      <c r="E1524" s="244" t="s">
        <v>313</v>
      </c>
      <c r="F1524" s="236">
        <v>200000</v>
      </c>
      <c r="G1524" s="237" t="s">
        <v>215</v>
      </c>
    </row>
    <row r="1525" spans="1:7" ht="15.75">
      <c r="A1525" s="243">
        <v>96</v>
      </c>
      <c r="B1525" s="251">
        <f>B1524+1</f>
        <v>42265</v>
      </c>
      <c r="C1525" s="228" t="str">
        <f t="shared" ref="C1525:C1532" si="158">C1524</f>
        <v>P-5E</v>
      </c>
      <c r="D1525" s="229"/>
      <c r="E1525" s="239" t="s">
        <v>157</v>
      </c>
      <c r="F1525" s="236"/>
      <c r="G1525" s="237" t="s">
        <v>215</v>
      </c>
    </row>
    <row r="1526" spans="1:7" ht="15.75">
      <c r="A1526" s="243">
        <v>97</v>
      </c>
      <c r="B1526" s="251">
        <f>B1525</f>
        <v>42265</v>
      </c>
      <c r="C1526" s="228" t="str">
        <f t="shared" si="158"/>
        <v>P-5E</v>
      </c>
      <c r="D1526" s="229" t="s">
        <v>2</v>
      </c>
      <c r="E1526" s="244" t="s">
        <v>170</v>
      </c>
      <c r="F1526" s="236">
        <v>1170000</v>
      </c>
      <c r="G1526" s="237" t="s">
        <v>215</v>
      </c>
    </row>
    <row r="1527" spans="1:7" ht="15.75">
      <c r="A1527" s="243">
        <v>98</v>
      </c>
      <c r="B1527" s="251">
        <f t="shared" ref="B1527:B1532" si="159">B1526</f>
        <v>42265</v>
      </c>
      <c r="C1527" s="228" t="str">
        <f t="shared" si="158"/>
        <v>P-5E</v>
      </c>
      <c r="D1527" s="229" t="s">
        <v>2</v>
      </c>
      <c r="E1527" s="244" t="s">
        <v>81</v>
      </c>
      <c r="F1527" s="236">
        <v>207000</v>
      </c>
      <c r="G1527" s="237" t="s">
        <v>215</v>
      </c>
    </row>
    <row r="1528" spans="1:7" ht="15.75">
      <c r="A1528" s="243">
        <v>99</v>
      </c>
      <c r="B1528" s="251">
        <f t="shared" si="159"/>
        <v>42265</v>
      </c>
      <c r="C1528" s="228" t="str">
        <f t="shared" si="158"/>
        <v>P-5E</v>
      </c>
      <c r="D1528" s="229" t="s">
        <v>57</v>
      </c>
      <c r="E1528" s="244" t="s">
        <v>79</v>
      </c>
      <c r="F1528" s="236">
        <v>200000</v>
      </c>
      <c r="G1528" s="237" t="s">
        <v>215</v>
      </c>
    </row>
    <row r="1529" spans="1:7" ht="15.75">
      <c r="A1529" s="243">
        <v>100</v>
      </c>
      <c r="B1529" s="251">
        <f t="shared" si="159"/>
        <v>42265</v>
      </c>
      <c r="C1529" s="228" t="str">
        <f t="shared" si="158"/>
        <v>P-5E</v>
      </c>
      <c r="D1529" s="229" t="s">
        <v>57</v>
      </c>
      <c r="E1529" s="244" t="s">
        <v>87</v>
      </c>
      <c r="F1529" s="236">
        <v>70000</v>
      </c>
      <c r="G1529" s="237" t="s">
        <v>215</v>
      </c>
    </row>
    <row r="1530" spans="1:7" ht="15.75">
      <c r="A1530" s="243">
        <v>101</v>
      </c>
      <c r="B1530" s="251">
        <f t="shared" si="159"/>
        <v>42265</v>
      </c>
      <c r="C1530" s="228" t="str">
        <f t="shared" si="158"/>
        <v>P-5E</v>
      </c>
      <c r="D1530" s="229" t="s">
        <v>3</v>
      </c>
      <c r="E1530" s="244" t="s">
        <v>76</v>
      </c>
      <c r="F1530" s="236">
        <v>300000</v>
      </c>
      <c r="G1530" s="237" t="s">
        <v>215</v>
      </c>
    </row>
    <row r="1531" spans="1:7" ht="15.75">
      <c r="A1531" s="243">
        <v>102</v>
      </c>
      <c r="B1531" s="251">
        <f t="shared" si="159"/>
        <v>42265</v>
      </c>
      <c r="C1531" s="228" t="str">
        <f t="shared" si="158"/>
        <v>P-5E</v>
      </c>
      <c r="D1531" s="229" t="s">
        <v>57</v>
      </c>
      <c r="E1531" s="230" t="s">
        <v>357</v>
      </c>
      <c r="F1531" s="236">
        <v>6345000</v>
      </c>
      <c r="G1531" s="237" t="s">
        <v>215</v>
      </c>
    </row>
    <row r="1532" spans="1:7" ht="15.75">
      <c r="A1532" s="243">
        <v>103</v>
      </c>
      <c r="B1532" s="251">
        <f t="shared" si="159"/>
        <v>42265</v>
      </c>
      <c r="C1532" s="228" t="str">
        <f t="shared" si="158"/>
        <v>P-5E</v>
      </c>
      <c r="D1532" s="229" t="s">
        <v>2</v>
      </c>
      <c r="E1532" s="244" t="s">
        <v>186</v>
      </c>
      <c r="F1532" s="236">
        <v>150000</v>
      </c>
      <c r="G1532" s="237" t="s">
        <v>215</v>
      </c>
    </row>
    <row r="1533" spans="1:7" ht="15.75">
      <c r="A1533" s="243">
        <v>104</v>
      </c>
      <c r="B1533" s="251">
        <f>B1532</f>
        <v>42265</v>
      </c>
      <c r="C1533" s="228" t="str">
        <f>C1532</f>
        <v>P-5E</v>
      </c>
      <c r="D1533" s="229" t="s">
        <v>57</v>
      </c>
      <c r="E1533" s="244" t="s">
        <v>313</v>
      </c>
      <c r="F1533" s="236">
        <v>200000</v>
      </c>
      <c r="G1533" s="237" t="s">
        <v>215</v>
      </c>
    </row>
    <row r="1534" spans="1:7" ht="15.75">
      <c r="A1534" s="243">
        <v>105</v>
      </c>
      <c r="B1534" s="251">
        <f>B1533+1</f>
        <v>42266</v>
      </c>
      <c r="C1534" s="228" t="str">
        <f t="shared" ref="C1534:C1541" si="160">C1533</f>
        <v>P-5E</v>
      </c>
      <c r="D1534" s="229"/>
      <c r="E1534" s="239" t="s">
        <v>157</v>
      </c>
      <c r="F1534" s="236"/>
      <c r="G1534" s="237" t="s">
        <v>215</v>
      </c>
    </row>
    <row r="1535" spans="1:7" ht="15.75">
      <c r="A1535" s="243">
        <v>106</v>
      </c>
      <c r="B1535" s="251">
        <f>B1534</f>
        <v>42266</v>
      </c>
      <c r="C1535" s="228" t="str">
        <f t="shared" si="160"/>
        <v>P-5E</v>
      </c>
      <c r="D1535" s="229" t="s">
        <v>2</v>
      </c>
      <c r="E1535" s="244" t="s">
        <v>170</v>
      </c>
      <c r="F1535" s="236">
        <v>1170000</v>
      </c>
      <c r="G1535" s="237" t="s">
        <v>215</v>
      </c>
    </row>
    <row r="1536" spans="1:7" ht="15.75">
      <c r="A1536" s="243">
        <v>107</v>
      </c>
      <c r="B1536" s="251">
        <f t="shared" ref="B1536:B1541" si="161">B1535</f>
        <v>42266</v>
      </c>
      <c r="C1536" s="228" t="str">
        <f t="shared" si="160"/>
        <v>P-5E</v>
      </c>
      <c r="D1536" s="229" t="s">
        <v>2</v>
      </c>
      <c r="E1536" s="244" t="s">
        <v>81</v>
      </c>
      <c r="F1536" s="236">
        <v>207000</v>
      </c>
      <c r="G1536" s="237" t="s">
        <v>215</v>
      </c>
    </row>
    <row r="1537" spans="1:8" ht="15.75">
      <c r="A1537" s="243">
        <v>108</v>
      </c>
      <c r="B1537" s="251">
        <f t="shared" si="161"/>
        <v>42266</v>
      </c>
      <c r="C1537" s="228" t="str">
        <f t="shared" si="160"/>
        <v>P-5E</v>
      </c>
      <c r="D1537" s="229" t="s">
        <v>57</v>
      </c>
      <c r="E1537" s="244" t="s">
        <v>79</v>
      </c>
      <c r="F1537" s="236">
        <v>200000</v>
      </c>
      <c r="G1537" s="237" t="s">
        <v>215</v>
      </c>
    </row>
    <row r="1538" spans="1:8" ht="15.75">
      <c r="A1538" s="243">
        <v>109</v>
      </c>
      <c r="B1538" s="251">
        <f t="shared" si="161"/>
        <v>42266</v>
      </c>
      <c r="C1538" s="228" t="str">
        <f t="shared" si="160"/>
        <v>P-5E</v>
      </c>
      <c r="D1538" s="229" t="s">
        <v>57</v>
      </c>
      <c r="E1538" s="244" t="s">
        <v>87</v>
      </c>
      <c r="F1538" s="236">
        <v>70000</v>
      </c>
      <c r="G1538" s="237" t="s">
        <v>215</v>
      </c>
    </row>
    <row r="1539" spans="1:8" ht="15.75">
      <c r="A1539" s="243">
        <v>110</v>
      </c>
      <c r="B1539" s="251">
        <f t="shared" si="161"/>
        <v>42266</v>
      </c>
      <c r="C1539" s="228" t="str">
        <f t="shared" si="160"/>
        <v>P-5E</v>
      </c>
      <c r="D1539" s="229" t="s">
        <v>3</v>
      </c>
      <c r="E1539" s="244" t="s">
        <v>76</v>
      </c>
      <c r="F1539" s="236">
        <v>300000</v>
      </c>
      <c r="G1539" s="237" t="s">
        <v>215</v>
      </c>
    </row>
    <row r="1540" spans="1:8" ht="15.75">
      <c r="A1540" s="243">
        <v>111</v>
      </c>
      <c r="B1540" s="251">
        <f t="shared" si="161"/>
        <v>42266</v>
      </c>
      <c r="C1540" s="228" t="str">
        <f t="shared" si="160"/>
        <v>P-5E</v>
      </c>
      <c r="D1540" s="229" t="s">
        <v>57</v>
      </c>
      <c r="E1540" s="230" t="s">
        <v>357</v>
      </c>
      <c r="F1540" s="236">
        <v>6345000</v>
      </c>
      <c r="G1540" s="237" t="s">
        <v>215</v>
      </c>
    </row>
    <row r="1541" spans="1:8" ht="15.75">
      <c r="A1541" s="243">
        <v>112</v>
      </c>
      <c r="B1541" s="251">
        <f t="shared" si="161"/>
        <v>42266</v>
      </c>
      <c r="C1541" s="228" t="str">
        <f t="shared" si="160"/>
        <v>P-5E</v>
      </c>
      <c r="D1541" s="229" t="s">
        <v>2</v>
      </c>
      <c r="E1541" s="244" t="s">
        <v>186</v>
      </c>
      <c r="F1541" s="236">
        <v>150000</v>
      </c>
      <c r="G1541" s="237" t="s">
        <v>215</v>
      </c>
    </row>
    <row r="1542" spans="1:8" ht="15.75">
      <c r="A1542" s="243">
        <v>113</v>
      </c>
      <c r="B1542" s="251">
        <f>B1541</f>
        <v>42266</v>
      </c>
      <c r="C1542" s="228" t="str">
        <f>C1541</f>
        <v>P-5E</v>
      </c>
      <c r="D1542" s="229" t="s">
        <v>57</v>
      </c>
      <c r="E1542" s="244" t="s">
        <v>313</v>
      </c>
      <c r="F1542" s="236">
        <v>200000</v>
      </c>
      <c r="G1542" s="237" t="s">
        <v>215</v>
      </c>
    </row>
    <row r="1543" spans="1:8" ht="15.75">
      <c r="A1543" s="243">
        <v>114</v>
      </c>
      <c r="B1543" s="251">
        <f>B1542+1</f>
        <v>42267</v>
      </c>
      <c r="C1543" s="228" t="str">
        <f t="shared" ref="C1543:C1550" si="162">C1542</f>
        <v>P-5E</v>
      </c>
      <c r="D1543" s="229"/>
      <c r="E1543" s="239" t="s">
        <v>157</v>
      </c>
      <c r="F1543" s="236"/>
      <c r="G1543" s="237" t="s">
        <v>215</v>
      </c>
    </row>
    <row r="1544" spans="1:8" ht="15.75">
      <c r="A1544" s="243">
        <v>115</v>
      </c>
      <c r="B1544" s="251">
        <f>B1543</f>
        <v>42267</v>
      </c>
      <c r="C1544" s="228" t="str">
        <f t="shared" si="162"/>
        <v>P-5E</v>
      </c>
      <c r="D1544" s="229" t="s">
        <v>2</v>
      </c>
      <c r="E1544" s="244" t="s">
        <v>170</v>
      </c>
      <c r="F1544" s="236">
        <v>1170000</v>
      </c>
      <c r="G1544" s="237" t="s">
        <v>215</v>
      </c>
    </row>
    <row r="1545" spans="1:8" ht="15.75">
      <c r="A1545" s="243">
        <v>116</v>
      </c>
      <c r="B1545" s="251">
        <f t="shared" ref="B1545:B1550" si="163">B1544</f>
        <v>42267</v>
      </c>
      <c r="C1545" s="228" t="str">
        <f t="shared" si="162"/>
        <v>P-5E</v>
      </c>
      <c r="D1545" s="229" t="s">
        <v>2</v>
      </c>
      <c r="E1545" s="244" t="s">
        <v>81</v>
      </c>
      <c r="F1545" s="236">
        <v>207000</v>
      </c>
      <c r="G1545" s="237" t="s">
        <v>215</v>
      </c>
    </row>
    <row r="1546" spans="1:8" ht="15.75">
      <c r="A1546" s="243">
        <v>117</v>
      </c>
      <c r="B1546" s="251">
        <f t="shared" si="163"/>
        <v>42267</v>
      </c>
      <c r="C1546" s="228" t="str">
        <f t="shared" si="162"/>
        <v>P-5E</v>
      </c>
      <c r="D1546" s="229" t="s">
        <v>57</v>
      </c>
      <c r="E1546" s="244" t="s">
        <v>79</v>
      </c>
      <c r="F1546" s="236">
        <v>200000</v>
      </c>
      <c r="G1546" s="237" t="s">
        <v>215</v>
      </c>
    </row>
    <row r="1547" spans="1:8" ht="15.75">
      <c r="A1547" s="243">
        <v>118</v>
      </c>
      <c r="B1547" s="251">
        <f t="shared" si="163"/>
        <v>42267</v>
      </c>
      <c r="C1547" s="228" t="str">
        <f t="shared" si="162"/>
        <v>P-5E</v>
      </c>
      <c r="D1547" s="229" t="s">
        <v>57</v>
      </c>
      <c r="E1547" s="244" t="s">
        <v>87</v>
      </c>
      <c r="F1547" s="236">
        <v>70000</v>
      </c>
      <c r="G1547" s="237" t="s">
        <v>215</v>
      </c>
    </row>
    <row r="1548" spans="1:8" ht="15.75">
      <c r="A1548" s="243">
        <v>119</v>
      </c>
      <c r="B1548" s="251">
        <f t="shared" si="163"/>
        <v>42267</v>
      </c>
      <c r="C1548" s="228" t="str">
        <f t="shared" si="162"/>
        <v>P-5E</v>
      </c>
      <c r="D1548" s="229" t="s">
        <v>3</v>
      </c>
      <c r="E1548" s="244" t="s">
        <v>76</v>
      </c>
      <c r="F1548" s="236">
        <v>300000</v>
      </c>
      <c r="G1548" s="237" t="s">
        <v>215</v>
      </c>
    </row>
    <row r="1549" spans="1:8" ht="15.75">
      <c r="A1549" s="243">
        <v>120</v>
      </c>
      <c r="B1549" s="251">
        <f t="shared" si="163"/>
        <v>42267</v>
      </c>
      <c r="C1549" s="228" t="str">
        <f t="shared" si="162"/>
        <v>P-5E</v>
      </c>
      <c r="D1549" s="229" t="s">
        <v>57</v>
      </c>
      <c r="E1549" s="230" t="s">
        <v>357</v>
      </c>
      <c r="F1549" s="236">
        <v>6345000</v>
      </c>
      <c r="G1549" s="237" t="s">
        <v>215</v>
      </c>
    </row>
    <row r="1550" spans="1:8" ht="15.75">
      <c r="A1550" s="243">
        <v>121</v>
      </c>
      <c r="B1550" s="251">
        <f t="shared" si="163"/>
        <v>42267</v>
      </c>
      <c r="C1550" s="228" t="str">
        <f t="shared" si="162"/>
        <v>P-5E</v>
      </c>
      <c r="D1550" s="229" t="s">
        <v>2</v>
      </c>
      <c r="E1550" s="244" t="s">
        <v>186</v>
      </c>
      <c r="F1550" s="236">
        <v>150000</v>
      </c>
      <c r="G1550" s="237" t="s">
        <v>215</v>
      </c>
    </row>
    <row r="1551" spans="1:8" ht="15.75">
      <c r="A1551" s="243">
        <v>122</v>
      </c>
      <c r="B1551" s="251">
        <f>B1550</f>
        <v>42267</v>
      </c>
      <c r="C1551" s="228" t="str">
        <f>C1550</f>
        <v>P-5E</v>
      </c>
      <c r="D1551" s="229" t="s">
        <v>57</v>
      </c>
      <c r="E1551" s="244" t="s">
        <v>313</v>
      </c>
      <c r="F1551" s="236">
        <v>200000</v>
      </c>
      <c r="G1551" s="237" t="s">
        <v>215</v>
      </c>
    </row>
    <row r="1552" spans="1:8" ht="15.75">
      <c r="A1552" s="243">
        <v>123</v>
      </c>
      <c r="B1552" s="251">
        <f>B1551</f>
        <v>42267</v>
      </c>
      <c r="C1552" s="228" t="s">
        <v>195</v>
      </c>
      <c r="D1552" s="229" t="s">
        <v>57</v>
      </c>
      <c r="E1552" s="230" t="s">
        <v>226</v>
      </c>
      <c r="F1552" s="236">
        <f>5*35000*14</f>
        <v>2450000</v>
      </c>
      <c r="G1552" s="237" t="s">
        <v>225</v>
      </c>
      <c r="H1552" s="227">
        <v>14</v>
      </c>
    </row>
    <row r="1553" spans="1:9" ht="15.75">
      <c r="A1553" s="243">
        <v>124</v>
      </c>
      <c r="B1553" s="251"/>
      <c r="C1553" s="228"/>
      <c r="D1553" s="229"/>
      <c r="E1553" s="230"/>
      <c r="F1553" s="236"/>
      <c r="G1553" s="237"/>
    </row>
    <row r="1554" spans="1:9" s="269" customFormat="1" ht="15">
      <c r="A1554" s="262"/>
      <c r="B1554" s="263" t="s">
        <v>189</v>
      </c>
      <c r="C1554" s="264">
        <f>B1551+1</f>
        <v>42268</v>
      </c>
      <c r="D1554" s="264">
        <f>C1554+5</f>
        <v>42273</v>
      </c>
      <c r="E1554" s="265"/>
      <c r="F1554" s="266">
        <f>SUM(F1555:F1610)</f>
        <v>57902000</v>
      </c>
      <c r="G1554" s="267" t="s">
        <v>251</v>
      </c>
      <c r="H1554" s="268"/>
      <c r="I1554" s="227"/>
    </row>
    <row r="1555" spans="1:9" ht="15.75">
      <c r="A1555" s="243">
        <v>1</v>
      </c>
      <c r="B1555" s="251">
        <f>C1554</f>
        <v>42268</v>
      </c>
      <c r="C1555" s="228" t="str">
        <f>C1551</f>
        <v>P-5E</v>
      </c>
      <c r="D1555" s="229"/>
      <c r="E1555" s="239" t="s">
        <v>157</v>
      </c>
      <c r="F1555" s="236"/>
      <c r="G1555" s="237" t="s">
        <v>215</v>
      </c>
      <c r="H1555" s="233"/>
    </row>
    <row r="1556" spans="1:9" ht="15.75">
      <c r="A1556" s="243">
        <v>2</v>
      </c>
      <c r="B1556" s="251">
        <f>B1555</f>
        <v>42268</v>
      </c>
      <c r="C1556" s="228" t="str">
        <f t="shared" ref="C1556:C1562" si="164">C1555</f>
        <v>P-5E</v>
      </c>
      <c r="D1556" s="229" t="s">
        <v>2</v>
      </c>
      <c r="E1556" s="244" t="s">
        <v>170</v>
      </c>
      <c r="F1556" s="236">
        <v>1170000</v>
      </c>
      <c r="G1556" s="237" t="s">
        <v>215</v>
      </c>
      <c r="H1556" s="226"/>
    </row>
    <row r="1557" spans="1:9" ht="15.75">
      <c r="A1557" s="243">
        <v>3</v>
      </c>
      <c r="B1557" s="251">
        <f t="shared" ref="B1557:B1562" si="165">B1556</f>
        <v>42268</v>
      </c>
      <c r="C1557" s="228" t="str">
        <f t="shared" si="164"/>
        <v>P-5E</v>
      </c>
      <c r="D1557" s="229" t="s">
        <v>2</v>
      </c>
      <c r="E1557" s="244" t="s">
        <v>81</v>
      </c>
      <c r="F1557" s="236">
        <v>207000</v>
      </c>
      <c r="G1557" s="237" t="s">
        <v>215</v>
      </c>
      <c r="H1557" s="226"/>
    </row>
    <row r="1558" spans="1:9" ht="15.75">
      <c r="A1558" s="243">
        <v>4</v>
      </c>
      <c r="B1558" s="251">
        <f t="shared" si="165"/>
        <v>42268</v>
      </c>
      <c r="C1558" s="228" t="str">
        <f t="shared" si="164"/>
        <v>P-5E</v>
      </c>
      <c r="D1558" s="229" t="s">
        <v>57</v>
      </c>
      <c r="E1558" s="244" t="s">
        <v>79</v>
      </c>
      <c r="F1558" s="236">
        <v>200000</v>
      </c>
      <c r="G1558" s="237" t="s">
        <v>215</v>
      </c>
    </row>
    <row r="1559" spans="1:9" ht="15.75">
      <c r="A1559" s="243">
        <v>5</v>
      </c>
      <c r="B1559" s="251">
        <f t="shared" si="165"/>
        <v>42268</v>
      </c>
      <c r="C1559" s="228" t="str">
        <f t="shared" si="164"/>
        <v>P-5E</v>
      </c>
      <c r="D1559" s="229" t="s">
        <v>57</v>
      </c>
      <c r="E1559" s="244" t="s">
        <v>87</v>
      </c>
      <c r="F1559" s="236">
        <v>70000</v>
      </c>
      <c r="G1559" s="237" t="s">
        <v>215</v>
      </c>
    </row>
    <row r="1560" spans="1:9" ht="15.75">
      <c r="A1560" s="243">
        <v>6</v>
      </c>
      <c r="B1560" s="251">
        <f t="shared" si="165"/>
        <v>42268</v>
      </c>
      <c r="C1560" s="228" t="str">
        <f t="shared" si="164"/>
        <v>P-5E</v>
      </c>
      <c r="D1560" s="229" t="s">
        <v>3</v>
      </c>
      <c r="E1560" s="244" t="s">
        <v>76</v>
      </c>
      <c r="F1560" s="236">
        <v>300000</v>
      </c>
      <c r="G1560" s="237" t="s">
        <v>215</v>
      </c>
    </row>
    <row r="1561" spans="1:9" ht="15.75">
      <c r="A1561" s="243">
        <v>7</v>
      </c>
      <c r="B1561" s="251">
        <f t="shared" si="165"/>
        <v>42268</v>
      </c>
      <c r="C1561" s="228" t="str">
        <f t="shared" si="164"/>
        <v>P-5E</v>
      </c>
      <c r="D1561" s="229" t="s">
        <v>57</v>
      </c>
      <c r="E1561" s="230" t="s">
        <v>357</v>
      </c>
      <c r="F1561" s="236">
        <v>6345000</v>
      </c>
      <c r="G1561" s="237" t="s">
        <v>215</v>
      </c>
      <c r="H1561" s="241"/>
    </row>
    <row r="1562" spans="1:9" ht="15.75">
      <c r="A1562" s="243">
        <v>8</v>
      </c>
      <c r="B1562" s="251">
        <f t="shared" si="165"/>
        <v>42268</v>
      </c>
      <c r="C1562" s="228" t="str">
        <f t="shared" si="164"/>
        <v>P-5E</v>
      </c>
      <c r="D1562" s="229" t="s">
        <v>2</v>
      </c>
      <c r="E1562" s="244" t="s">
        <v>186</v>
      </c>
      <c r="F1562" s="236">
        <v>150000</v>
      </c>
      <c r="G1562" s="237" t="s">
        <v>215</v>
      </c>
    </row>
    <row r="1563" spans="1:9" ht="15.75">
      <c r="A1563" s="243">
        <v>9</v>
      </c>
      <c r="B1563" s="251">
        <f>B1562</f>
        <v>42268</v>
      </c>
      <c r="C1563" s="228" t="str">
        <f>C1562</f>
        <v>P-5E</v>
      </c>
      <c r="D1563" s="229" t="s">
        <v>57</v>
      </c>
      <c r="E1563" s="244" t="s">
        <v>313</v>
      </c>
      <c r="F1563" s="236">
        <v>200000</v>
      </c>
      <c r="G1563" s="237" t="s">
        <v>215</v>
      </c>
    </row>
    <row r="1564" spans="1:9" ht="15.75">
      <c r="A1564" s="243">
        <v>10</v>
      </c>
      <c r="B1564" s="251">
        <f>B1563+1</f>
        <v>42269</v>
      </c>
      <c r="C1564" s="228" t="str">
        <f t="shared" ref="C1564:C1571" si="166">C1563</f>
        <v>P-5E</v>
      </c>
      <c r="D1564" s="229"/>
      <c r="E1564" s="239" t="s">
        <v>157</v>
      </c>
      <c r="F1564" s="236"/>
      <c r="G1564" s="237" t="s">
        <v>215</v>
      </c>
    </row>
    <row r="1565" spans="1:9" ht="15.75">
      <c r="A1565" s="243">
        <v>11</v>
      </c>
      <c r="B1565" s="251">
        <f>B1564</f>
        <v>42269</v>
      </c>
      <c r="C1565" s="228" t="str">
        <f t="shared" si="166"/>
        <v>P-5E</v>
      </c>
      <c r="D1565" s="229" t="s">
        <v>2</v>
      </c>
      <c r="E1565" s="244" t="s">
        <v>170</v>
      </c>
      <c r="F1565" s="236">
        <v>1170000</v>
      </c>
      <c r="G1565" s="237" t="s">
        <v>215</v>
      </c>
    </row>
    <row r="1566" spans="1:9" ht="15.75">
      <c r="A1566" s="243">
        <v>12</v>
      </c>
      <c r="B1566" s="251">
        <f t="shared" ref="B1566:B1571" si="167">B1565</f>
        <v>42269</v>
      </c>
      <c r="C1566" s="228" t="str">
        <f t="shared" si="166"/>
        <v>P-5E</v>
      </c>
      <c r="D1566" s="229" t="s">
        <v>2</v>
      </c>
      <c r="E1566" s="244" t="s">
        <v>81</v>
      </c>
      <c r="F1566" s="236">
        <v>207000</v>
      </c>
      <c r="G1566" s="237" t="s">
        <v>215</v>
      </c>
    </row>
    <row r="1567" spans="1:9" ht="15.75">
      <c r="A1567" s="243">
        <v>13</v>
      </c>
      <c r="B1567" s="251">
        <f t="shared" si="167"/>
        <v>42269</v>
      </c>
      <c r="C1567" s="228" t="str">
        <f t="shared" si="166"/>
        <v>P-5E</v>
      </c>
      <c r="D1567" s="229" t="s">
        <v>57</v>
      </c>
      <c r="E1567" s="244" t="s">
        <v>79</v>
      </c>
      <c r="F1567" s="236">
        <v>200000</v>
      </c>
      <c r="G1567" s="237" t="s">
        <v>215</v>
      </c>
      <c r="I1567" s="227" t="s">
        <v>218</v>
      </c>
    </row>
    <row r="1568" spans="1:9" ht="15.75">
      <c r="A1568" s="243">
        <v>14</v>
      </c>
      <c r="B1568" s="251">
        <f t="shared" si="167"/>
        <v>42269</v>
      </c>
      <c r="C1568" s="228" t="str">
        <f t="shared" si="166"/>
        <v>P-5E</v>
      </c>
      <c r="D1568" s="229" t="s">
        <v>57</v>
      </c>
      <c r="E1568" s="244" t="s">
        <v>87</v>
      </c>
      <c r="F1568" s="236">
        <v>70000</v>
      </c>
      <c r="G1568" s="237" t="s">
        <v>215</v>
      </c>
      <c r="H1568" s="279">
        <f>SUBTOTAL(9,F280:F1568)</f>
        <v>3029484945.6521759</v>
      </c>
    </row>
    <row r="1569" spans="1:9" ht="15.75">
      <c r="A1569" s="243">
        <v>15</v>
      </c>
      <c r="B1569" s="251">
        <f t="shared" si="167"/>
        <v>42269</v>
      </c>
      <c r="C1569" s="228" t="str">
        <f t="shared" si="166"/>
        <v>P-5E</v>
      </c>
      <c r="D1569" s="229" t="s">
        <v>3</v>
      </c>
      <c r="E1569" s="244" t="s">
        <v>76</v>
      </c>
      <c r="F1569" s="236">
        <v>300000</v>
      </c>
      <c r="G1569" s="237" t="s">
        <v>215</v>
      </c>
    </row>
    <row r="1570" spans="1:9" ht="15.75">
      <c r="A1570" s="243">
        <v>16</v>
      </c>
      <c r="B1570" s="251">
        <f t="shared" si="167"/>
        <v>42269</v>
      </c>
      <c r="C1570" s="228" t="str">
        <f t="shared" si="166"/>
        <v>P-5E</v>
      </c>
      <c r="D1570" s="229" t="s">
        <v>57</v>
      </c>
      <c r="E1570" s="230" t="s">
        <v>357</v>
      </c>
      <c r="F1570" s="236">
        <v>6345000</v>
      </c>
      <c r="G1570" s="237" t="s">
        <v>215</v>
      </c>
    </row>
    <row r="1571" spans="1:9" ht="15.75">
      <c r="A1571" s="243">
        <v>17</v>
      </c>
      <c r="B1571" s="251">
        <f t="shared" si="167"/>
        <v>42269</v>
      </c>
      <c r="C1571" s="228" t="str">
        <f t="shared" si="166"/>
        <v>P-5E</v>
      </c>
      <c r="D1571" s="229" t="s">
        <v>2</v>
      </c>
      <c r="E1571" s="244" t="s">
        <v>186</v>
      </c>
      <c r="F1571" s="236">
        <v>150000</v>
      </c>
      <c r="G1571" s="237" t="s">
        <v>215</v>
      </c>
    </row>
    <row r="1572" spans="1:9" ht="15.75">
      <c r="A1572" s="243">
        <v>18</v>
      </c>
      <c r="B1572" s="251">
        <f>B1571</f>
        <v>42269</v>
      </c>
      <c r="C1572" s="228" t="str">
        <f>C1571</f>
        <v>P-5E</v>
      </c>
      <c r="D1572" s="229" t="s">
        <v>57</v>
      </c>
      <c r="E1572" s="244" t="s">
        <v>313</v>
      </c>
      <c r="F1572" s="236">
        <v>200000</v>
      </c>
      <c r="G1572" s="237" t="s">
        <v>215</v>
      </c>
    </row>
    <row r="1573" spans="1:9" ht="15.75">
      <c r="A1573" s="243">
        <v>19</v>
      </c>
      <c r="B1573" s="251">
        <f>B1572+1</f>
        <v>42270</v>
      </c>
      <c r="C1573" s="228" t="str">
        <f t="shared" ref="C1573:C1580" si="168">C1572</f>
        <v>P-5E</v>
      </c>
      <c r="D1573" s="229"/>
      <c r="E1573" s="239" t="s">
        <v>157</v>
      </c>
      <c r="F1573" s="236"/>
      <c r="G1573" s="237" t="s">
        <v>215</v>
      </c>
    </row>
    <row r="1574" spans="1:9" ht="15.75">
      <c r="A1574" s="243">
        <v>20</v>
      </c>
      <c r="B1574" s="251">
        <f>B1573</f>
        <v>42270</v>
      </c>
      <c r="C1574" s="228" t="str">
        <f t="shared" si="168"/>
        <v>P-5E</v>
      </c>
      <c r="D1574" s="229" t="s">
        <v>2</v>
      </c>
      <c r="E1574" s="244" t="s">
        <v>170</v>
      </c>
      <c r="F1574" s="236">
        <v>1170000</v>
      </c>
      <c r="G1574" s="237" t="s">
        <v>215</v>
      </c>
    </row>
    <row r="1575" spans="1:9" ht="15.75">
      <c r="A1575" s="243">
        <v>21</v>
      </c>
      <c r="B1575" s="251">
        <f t="shared" ref="B1575:B1580" si="169">B1574</f>
        <v>42270</v>
      </c>
      <c r="C1575" s="228" t="str">
        <f t="shared" si="168"/>
        <v>P-5E</v>
      </c>
      <c r="D1575" s="229" t="s">
        <v>2</v>
      </c>
      <c r="E1575" s="244" t="s">
        <v>81</v>
      </c>
      <c r="F1575" s="236">
        <v>207000</v>
      </c>
      <c r="G1575" s="237" t="s">
        <v>215</v>
      </c>
    </row>
    <row r="1576" spans="1:9" ht="15.75">
      <c r="A1576" s="243">
        <v>22</v>
      </c>
      <c r="B1576" s="251">
        <f t="shared" si="169"/>
        <v>42270</v>
      </c>
      <c r="C1576" s="228" t="str">
        <f t="shared" si="168"/>
        <v>P-5E</v>
      </c>
      <c r="D1576" s="229" t="s">
        <v>57</v>
      </c>
      <c r="E1576" s="244" t="s">
        <v>79</v>
      </c>
      <c r="F1576" s="236">
        <v>200000</v>
      </c>
      <c r="G1576" s="237" t="s">
        <v>215</v>
      </c>
    </row>
    <row r="1577" spans="1:9" ht="15.75">
      <c r="A1577" s="243">
        <v>23</v>
      </c>
      <c r="B1577" s="251">
        <f t="shared" si="169"/>
        <v>42270</v>
      </c>
      <c r="C1577" s="228" t="str">
        <f t="shared" si="168"/>
        <v>P-5E</v>
      </c>
      <c r="D1577" s="229" t="s">
        <v>57</v>
      </c>
      <c r="E1577" s="244" t="s">
        <v>87</v>
      </c>
      <c r="F1577" s="236">
        <v>70000</v>
      </c>
      <c r="G1577" s="237" t="s">
        <v>215</v>
      </c>
    </row>
    <row r="1578" spans="1:9" ht="15.75">
      <c r="A1578" s="243">
        <v>24</v>
      </c>
      <c r="B1578" s="251">
        <f t="shared" si="169"/>
        <v>42270</v>
      </c>
      <c r="C1578" s="228" t="str">
        <f t="shared" si="168"/>
        <v>P-5E</v>
      </c>
      <c r="D1578" s="229" t="s">
        <v>3</v>
      </c>
      <c r="E1578" s="244" t="s">
        <v>76</v>
      </c>
      <c r="F1578" s="236">
        <v>300000</v>
      </c>
      <c r="G1578" s="237" t="s">
        <v>215</v>
      </c>
    </row>
    <row r="1579" spans="1:9" ht="15.75">
      <c r="A1579" s="243">
        <v>25</v>
      </c>
      <c r="B1579" s="251">
        <f t="shared" si="169"/>
        <v>42270</v>
      </c>
      <c r="C1579" s="228" t="str">
        <f t="shared" si="168"/>
        <v>P-5E</v>
      </c>
      <c r="D1579" s="229" t="s">
        <v>57</v>
      </c>
      <c r="E1579" s="230" t="s">
        <v>357</v>
      </c>
      <c r="F1579" s="236">
        <v>6345000</v>
      </c>
      <c r="G1579" s="237" t="s">
        <v>215</v>
      </c>
      <c r="I1579" s="227" t="s">
        <v>218</v>
      </c>
    </row>
    <row r="1580" spans="1:9" ht="15.75">
      <c r="A1580" s="243">
        <v>26</v>
      </c>
      <c r="B1580" s="251">
        <f t="shared" si="169"/>
        <v>42270</v>
      </c>
      <c r="C1580" s="228" t="str">
        <f t="shared" si="168"/>
        <v>P-5E</v>
      </c>
      <c r="D1580" s="229" t="s">
        <v>2</v>
      </c>
      <c r="E1580" s="244" t="s">
        <v>186</v>
      </c>
      <c r="F1580" s="236">
        <v>150000</v>
      </c>
      <c r="G1580" s="237" t="s">
        <v>215</v>
      </c>
      <c r="H1580" s="279">
        <f>SUBTOTAL(9,F292:F1580)</f>
        <v>3040382495.6521759</v>
      </c>
    </row>
    <row r="1581" spans="1:9" ht="15.75">
      <c r="A1581" s="243">
        <v>27</v>
      </c>
      <c r="B1581" s="251">
        <f>B1580</f>
        <v>42270</v>
      </c>
      <c r="C1581" s="228" t="str">
        <f>C1580</f>
        <v>P-5E</v>
      </c>
      <c r="D1581" s="229" t="s">
        <v>57</v>
      </c>
      <c r="E1581" s="244" t="s">
        <v>313</v>
      </c>
      <c r="F1581" s="236">
        <v>200000</v>
      </c>
      <c r="G1581" s="237" t="s">
        <v>215</v>
      </c>
    </row>
    <row r="1582" spans="1:9" ht="15.75">
      <c r="A1582" s="243">
        <v>28</v>
      </c>
      <c r="B1582" s="251">
        <f>B1581+1</f>
        <v>42271</v>
      </c>
      <c r="C1582" s="228" t="str">
        <f t="shared" ref="C1582:C1589" si="170">C1581</f>
        <v>P-5E</v>
      </c>
      <c r="D1582" s="229"/>
      <c r="E1582" s="239" t="s">
        <v>157</v>
      </c>
      <c r="F1582" s="236"/>
      <c r="G1582" s="237" t="s">
        <v>215</v>
      </c>
    </row>
    <row r="1583" spans="1:9" ht="15.75">
      <c r="A1583" s="243">
        <v>29</v>
      </c>
      <c r="B1583" s="251">
        <f>B1582</f>
        <v>42271</v>
      </c>
      <c r="C1583" s="228" t="str">
        <f t="shared" si="170"/>
        <v>P-5E</v>
      </c>
      <c r="D1583" s="229" t="s">
        <v>2</v>
      </c>
      <c r="E1583" s="244" t="s">
        <v>170</v>
      </c>
      <c r="F1583" s="236">
        <v>1170000</v>
      </c>
      <c r="G1583" s="237" t="s">
        <v>215</v>
      </c>
    </row>
    <row r="1584" spans="1:9" ht="15.75">
      <c r="A1584" s="243">
        <v>30</v>
      </c>
      <c r="B1584" s="251">
        <f t="shared" ref="B1584:B1589" si="171">B1583</f>
        <v>42271</v>
      </c>
      <c r="C1584" s="228" t="str">
        <f t="shared" si="170"/>
        <v>P-5E</v>
      </c>
      <c r="D1584" s="229" t="s">
        <v>2</v>
      </c>
      <c r="E1584" s="244" t="s">
        <v>81</v>
      </c>
      <c r="F1584" s="236">
        <v>207000</v>
      </c>
      <c r="G1584" s="237" t="s">
        <v>215</v>
      </c>
    </row>
    <row r="1585" spans="1:9" ht="15.75">
      <c r="A1585" s="243">
        <v>31</v>
      </c>
      <c r="B1585" s="251">
        <f t="shared" si="171"/>
        <v>42271</v>
      </c>
      <c r="C1585" s="228" t="str">
        <f t="shared" si="170"/>
        <v>P-5E</v>
      </c>
      <c r="D1585" s="229" t="s">
        <v>57</v>
      </c>
      <c r="E1585" s="244" t="s">
        <v>79</v>
      </c>
      <c r="F1585" s="236">
        <v>200000</v>
      </c>
      <c r="G1585" s="237" t="s">
        <v>215</v>
      </c>
    </row>
    <row r="1586" spans="1:9" ht="15.75">
      <c r="A1586" s="243">
        <v>32</v>
      </c>
      <c r="B1586" s="251">
        <f t="shared" si="171"/>
        <v>42271</v>
      </c>
      <c r="C1586" s="228" t="str">
        <f t="shared" si="170"/>
        <v>P-5E</v>
      </c>
      <c r="D1586" s="229" t="s">
        <v>57</v>
      </c>
      <c r="E1586" s="244" t="s">
        <v>87</v>
      </c>
      <c r="F1586" s="236">
        <v>70000</v>
      </c>
      <c r="G1586" s="237" t="s">
        <v>215</v>
      </c>
    </row>
    <row r="1587" spans="1:9" ht="15.75">
      <c r="A1587" s="243">
        <v>33</v>
      </c>
      <c r="B1587" s="251">
        <f t="shared" si="171"/>
        <v>42271</v>
      </c>
      <c r="C1587" s="228" t="str">
        <f t="shared" si="170"/>
        <v>P-5E</v>
      </c>
      <c r="D1587" s="229" t="s">
        <v>3</v>
      </c>
      <c r="E1587" s="244" t="s">
        <v>76</v>
      </c>
      <c r="F1587" s="236">
        <v>300000</v>
      </c>
      <c r="G1587" s="237" t="s">
        <v>215</v>
      </c>
    </row>
    <row r="1588" spans="1:9" ht="15.75">
      <c r="A1588" s="243">
        <v>34</v>
      </c>
      <c r="B1588" s="251">
        <f t="shared" si="171"/>
        <v>42271</v>
      </c>
      <c r="C1588" s="228" t="str">
        <f t="shared" si="170"/>
        <v>P-5E</v>
      </c>
      <c r="D1588" s="229" t="s">
        <v>57</v>
      </c>
      <c r="E1588" s="230" t="s">
        <v>357</v>
      </c>
      <c r="F1588" s="236">
        <v>6345000</v>
      </c>
      <c r="G1588" s="237" t="s">
        <v>215</v>
      </c>
    </row>
    <row r="1589" spans="1:9" ht="15.75">
      <c r="A1589" s="243">
        <v>35</v>
      </c>
      <c r="B1589" s="251">
        <f t="shared" si="171"/>
        <v>42271</v>
      </c>
      <c r="C1589" s="228" t="str">
        <f t="shared" si="170"/>
        <v>P-5E</v>
      </c>
      <c r="D1589" s="229" t="s">
        <v>2</v>
      </c>
      <c r="E1589" s="244" t="s">
        <v>186</v>
      </c>
      <c r="F1589" s="236">
        <v>150000</v>
      </c>
      <c r="G1589" s="237" t="s">
        <v>215</v>
      </c>
    </row>
    <row r="1590" spans="1:9" ht="15.75">
      <c r="A1590" s="243">
        <v>36</v>
      </c>
      <c r="B1590" s="251">
        <f>B1589</f>
        <v>42271</v>
      </c>
      <c r="C1590" s="228" t="str">
        <f>C1589</f>
        <v>P-5E</v>
      </c>
      <c r="D1590" s="229" t="s">
        <v>57</v>
      </c>
      <c r="E1590" s="244" t="s">
        <v>313</v>
      </c>
      <c r="F1590" s="236">
        <v>200000</v>
      </c>
      <c r="G1590" s="237" t="s">
        <v>215</v>
      </c>
    </row>
    <row r="1591" spans="1:9" ht="15.75">
      <c r="A1591" s="243">
        <v>37</v>
      </c>
      <c r="B1591" s="251">
        <f>B1590+1</f>
        <v>42272</v>
      </c>
      <c r="C1591" s="228" t="str">
        <f t="shared" ref="C1591:C1598" si="172">C1590</f>
        <v>P-5E</v>
      </c>
      <c r="D1591" s="229"/>
      <c r="E1591" s="239" t="s">
        <v>157</v>
      </c>
      <c r="F1591" s="236"/>
      <c r="G1591" s="237" t="s">
        <v>215</v>
      </c>
      <c r="I1591" s="227" t="s">
        <v>218</v>
      </c>
    </row>
    <row r="1592" spans="1:9" ht="15.75">
      <c r="A1592" s="243">
        <v>38</v>
      </c>
      <c r="B1592" s="251">
        <f>B1591</f>
        <v>42272</v>
      </c>
      <c r="C1592" s="228" t="str">
        <f t="shared" si="172"/>
        <v>P-5E</v>
      </c>
      <c r="D1592" s="229" t="s">
        <v>2</v>
      </c>
      <c r="E1592" s="244" t="s">
        <v>170</v>
      </c>
      <c r="F1592" s="236">
        <v>1170000</v>
      </c>
      <c r="G1592" s="237" t="s">
        <v>215</v>
      </c>
      <c r="H1592" s="279">
        <f>SUBTOTAL(9,F305:F1592)</f>
        <v>3034130834.7826099</v>
      </c>
    </row>
    <row r="1593" spans="1:9" ht="15.75">
      <c r="A1593" s="243">
        <v>39</v>
      </c>
      <c r="B1593" s="251">
        <f t="shared" ref="B1593:B1598" si="173">B1592</f>
        <v>42272</v>
      </c>
      <c r="C1593" s="228" t="str">
        <f t="shared" si="172"/>
        <v>P-5E</v>
      </c>
      <c r="D1593" s="229" t="s">
        <v>2</v>
      </c>
      <c r="E1593" s="244" t="s">
        <v>81</v>
      </c>
      <c r="F1593" s="236">
        <v>207000</v>
      </c>
      <c r="G1593" s="237" t="s">
        <v>215</v>
      </c>
    </row>
    <row r="1594" spans="1:9" ht="15.75">
      <c r="A1594" s="243">
        <v>40</v>
      </c>
      <c r="B1594" s="251">
        <f t="shared" si="173"/>
        <v>42272</v>
      </c>
      <c r="C1594" s="228" t="str">
        <f t="shared" si="172"/>
        <v>P-5E</v>
      </c>
      <c r="D1594" s="229" t="s">
        <v>57</v>
      </c>
      <c r="E1594" s="244" t="s">
        <v>79</v>
      </c>
      <c r="F1594" s="236">
        <v>200000</v>
      </c>
      <c r="G1594" s="237" t="s">
        <v>215</v>
      </c>
    </row>
    <row r="1595" spans="1:9" ht="15.75">
      <c r="A1595" s="243">
        <v>41</v>
      </c>
      <c r="B1595" s="251">
        <f t="shared" si="173"/>
        <v>42272</v>
      </c>
      <c r="C1595" s="228" t="str">
        <f t="shared" si="172"/>
        <v>P-5E</v>
      </c>
      <c r="D1595" s="229" t="s">
        <v>57</v>
      </c>
      <c r="E1595" s="244" t="s">
        <v>87</v>
      </c>
      <c r="F1595" s="236">
        <v>70000</v>
      </c>
      <c r="G1595" s="237" t="s">
        <v>215</v>
      </c>
    </row>
    <row r="1596" spans="1:9" ht="15.75">
      <c r="A1596" s="243">
        <v>42</v>
      </c>
      <c r="B1596" s="251">
        <f t="shared" si="173"/>
        <v>42272</v>
      </c>
      <c r="C1596" s="228" t="str">
        <f t="shared" si="172"/>
        <v>P-5E</v>
      </c>
      <c r="D1596" s="229" t="s">
        <v>3</v>
      </c>
      <c r="E1596" s="244" t="s">
        <v>76</v>
      </c>
      <c r="F1596" s="236">
        <v>300000</v>
      </c>
      <c r="G1596" s="237" t="s">
        <v>215</v>
      </c>
    </row>
    <row r="1597" spans="1:9" ht="15.75">
      <c r="A1597" s="243">
        <v>43</v>
      </c>
      <c r="B1597" s="251">
        <f t="shared" si="173"/>
        <v>42272</v>
      </c>
      <c r="C1597" s="228" t="str">
        <f t="shared" si="172"/>
        <v>P-5E</v>
      </c>
      <c r="D1597" s="229" t="s">
        <v>57</v>
      </c>
      <c r="E1597" s="230" t="s">
        <v>357</v>
      </c>
      <c r="F1597" s="236">
        <v>6345000</v>
      </c>
      <c r="G1597" s="237" t="s">
        <v>215</v>
      </c>
    </row>
    <row r="1598" spans="1:9" ht="15.75">
      <c r="A1598" s="243">
        <v>44</v>
      </c>
      <c r="B1598" s="251">
        <f t="shared" si="173"/>
        <v>42272</v>
      </c>
      <c r="C1598" s="228" t="str">
        <f t="shared" si="172"/>
        <v>P-5E</v>
      </c>
      <c r="D1598" s="229" t="s">
        <v>2</v>
      </c>
      <c r="E1598" s="244" t="s">
        <v>186</v>
      </c>
      <c r="F1598" s="236">
        <v>150000</v>
      </c>
      <c r="G1598" s="237" t="s">
        <v>215</v>
      </c>
    </row>
    <row r="1599" spans="1:9" ht="15.75">
      <c r="A1599" s="243">
        <v>45</v>
      </c>
      <c r="B1599" s="251">
        <f>B1598</f>
        <v>42272</v>
      </c>
      <c r="C1599" s="228" t="str">
        <f>C1598</f>
        <v>P-5E</v>
      </c>
      <c r="D1599" s="229" t="s">
        <v>57</v>
      </c>
      <c r="E1599" s="244" t="s">
        <v>313</v>
      </c>
      <c r="F1599" s="236">
        <v>200000</v>
      </c>
      <c r="G1599" s="237" t="s">
        <v>215</v>
      </c>
    </row>
    <row r="1600" spans="1:9" ht="15.75">
      <c r="A1600" s="243">
        <v>46</v>
      </c>
      <c r="B1600" s="251">
        <f>B1599+1</f>
        <v>42273</v>
      </c>
      <c r="C1600" s="228" t="str">
        <f t="shared" ref="C1600:C1607" si="174">C1599</f>
        <v>P-5E</v>
      </c>
      <c r="D1600" s="229"/>
      <c r="E1600" s="239" t="s">
        <v>157</v>
      </c>
      <c r="F1600" s="236"/>
      <c r="G1600" s="237" t="s">
        <v>215</v>
      </c>
    </row>
    <row r="1601" spans="1:9" ht="15.75">
      <c r="A1601" s="243">
        <v>47</v>
      </c>
      <c r="B1601" s="251">
        <f>B1600</f>
        <v>42273</v>
      </c>
      <c r="C1601" s="228" t="str">
        <f t="shared" si="174"/>
        <v>P-5E</v>
      </c>
      <c r="D1601" s="229" t="s">
        <v>2</v>
      </c>
      <c r="E1601" s="244" t="s">
        <v>170</v>
      </c>
      <c r="F1601" s="236">
        <v>1170000</v>
      </c>
      <c r="G1601" s="237" t="s">
        <v>215</v>
      </c>
    </row>
    <row r="1602" spans="1:9" ht="15.75">
      <c r="A1602" s="243">
        <v>48</v>
      </c>
      <c r="B1602" s="251">
        <f t="shared" ref="B1602:B1607" si="175">B1601</f>
        <v>42273</v>
      </c>
      <c r="C1602" s="228" t="str">
        <f t="shared" si="174"/>
        <v>P-5E</v>
      </c>
      <c r="D1602" s="229" t="s">
        <v>2</v>
      </c>
      <c r="E1602" s="244" t="s">
        <v>81</v>
      </c>
      <c r="F1602" s="236">
        <v>207000</v>
      </c>
      <c r="G1602" s="237" t="s">
        <v>215</v>
      </c>
    </row>
    <row r="1603" spans="1:9" ht="15.75">
      <c r="A1603" s="243">
        <v>49</v>
      </c>
      <c r="B1603" s="251">
        <f t="shared" si="175"/>
        <v>42273</v>
      </c>
      <c r="C1603" s="228" t="str">
        <f t="shared" si="174"/>
        <v>P-5E</v>
      </c>
      <c r="D1603" s="229" t="s">
        <v>57</v>
      </c>
      <c r="E1603" s="244" t="s">
        <v>79</v>
      </c>
      <c r="F1603" s="236">
        <v>200000</v>
      </c>
      <c r="G1603" s="237" t="s">
        <v>215</v>
      </c>
      <c r="I1603" s="227" t="s">
        <v>218</v>
      </c>
    </row>
    <row r="1604" spans="1:9" ht="15.75">
      <c r="A1604" s="243">
        <v>50</v>
      </c>
      <c r="B1604" s="251">
        <f t="shared" si="175"/>
        <v>42273</v>
      </c>
      <c r="C1604" s="228" t="str">
        <f t="shared" si="174"/>
        <v>P-5E</v>
      </c>
      <c r="D1604" s="229" t="s">
        <v>57</v>
      </c>
      <c r="E1604" s="244" t="s">
        <v>87</v>
      </c>
      <c r="F1604" s="236">
        <v>70000</v>
      </c>
      <c r="G1604" s="237" t="s">
        <v>215</v>
      </c>
      <c r="H1604" s="279">
        <f>SUBTOTAL(9,F317:F1604)</f>
        <v>3031269834.7826099</v>
      </c>
    </row>
    <row r="1605" spans="1:9" ht="15.75">
      <c r="A1605" s="243">
        <v>51</v>
      </c>
      <c r="B1605" s="251">
        <f t="shared" si="175"/>
        <v>42273</v>
      </c>
      <c r="C1605" s="228" t="str">
        <f t="shared" si="174"/>
        <v>P-5E</v>
      </c>
      <c r="D1605" s="229" t="s">
        <v>3</v>
      </c>
      <c r="E1605" s="244" t="s">
        <v>76</v>
      </c>
      <c r="F1605" s="236">
        <v>300000</v>
      </c>
      <c r="G1605" s="237" t="s">
        <v>215</v>
      </c>
    </row>
    <row r="1606" spans="1:9" ht="15.75">
      <c r="A1606" s="243">
        <v>52</v>
      </c>
      <c r="B1606" s="251">
        <f t="shared" si="175"/>
        <v>42273</v>
      </c>
      <c r="C1606" s="228" t="str">
        <f t="shared" si="174"/>
        <v>P-5E</v>
      </c>
      <c r="D1606" s="229" t="s">
        <v>57</v>
      </c>
      <c r="E1606" s="230" t="s">
        <v>357</v>
      </c>
      <c r="F1606" s="236">
        <v>6345000</v>
      </c>
      <c r="G1606" s="237" t="s">
        <v>215</v>
      </c>
    </row>
    <row r="1607" spans="1:9" ht="15.75">
      <c r="A1607" s="243">
        <v>53</v>
      </c>
      <c r="B1607" s="251">
        <f t="shared" si="175"/>
        <v>42273</v>
      </c>
      <c r="C1607" s="228" t="str">
        <f t="shared" si="174"/>
        <v>P-5E</v>
      </c>
      <c r="D1607" s="229" t="s">
        <v>2</v>
      </c>
      <c r="E1607" s="244" t="s">
        <v>186</v>
      </c>
      <c r="F1607" s="236">
        <v>150000</v>
      </c>
      <c r="G1607" s="237" t="s">
        <v>215</v>
      </c>
    </row>
    <row r="1608" spans="1:9" ht="15.75">
      <c r="A1608" s="243">
        <v>54</v>
      </c>
      <c r="B1608" s="251">
        <f>B1607</f>
        <v>42273</v>
      </c>
      <c r="C1608" s="228" t="str">
        <f>C1607</f>
        <v>P-5E</v>
      </c>
      <c r="D1608" s="229" t="s">
        <v>57</v>
      </c>
      <c r="E1608" s="244" t="s">
        <v>313</v>
      </c>
      <c r="F1608" s="236">
        <v>200000</v>
      </c>
      <c r="G1608" s="237" t="s">
        <v>215</v>
      </c>
      <c r="H1608" s="279">
        <f>SUBTOTAL(9,F1463:F1608)</f>
        <v>198624000</v>
      </c>
    </row>
    <row r="1609" spans="1:9" ht="15.75">
      <c r="A1609" s="243">
        <v>55</v>
      </c>
      <c r="B1609" s="251">
        <f>B1608</f>
        <v>42273</v>
      </c>
      <c r="C1609" s="228" t="str">
        <f>C1608</f>
        <v>P-5E</v>
      </c>
      <c r="D1609" s="229" t="s">
        <v>124</v>
      </c>
      <c r="E1609" s="244" t="str">
        <f>Budget!B17</f>
        <v>Demobilisasi</v>
      </c>
      <c r="F1609" s="236">
        <f>Budget!G17</f>
        <v>5000000</v>
      </c>
      <c r="G1609" s="237" t="s">
        <v>5</v>
      </c>
      <c r="H1609" s="279">
        <f>SUBTOTAL(9,F15:F1609)</f>
        <v>3410175799.9999995</v>
      </c>
    </row>
    <row r="1610" spans="1:9" ht="15.75">
      <c r="A1610" s="243">
        <v>56</v>
      </c>
      <c r="B1610" s="251">
        <f>B1609</f>
        <v>42273</v>
      </c>
      <c r="C1610" s="228" t="s">
        <v>195</v>
      </c>
      <c r="D1610" s="229" t="s">
        <v>57</v>
      </c>
      <c r="E1610" s="230" t="s">
        <v>226</v>
      </c>
      <c r="F1610" s="236">
        <f>5*35000*6</f>
        <v>1050000</v>
      </c>
      <c r="G1610" s="237" t="s">
        <v>225</v>
      </c>
      <c r="H1610" s="282">
        <v>6</v>
      </c>
    </row>
    <row r="1611" spans="1:9">
      <c r="H1611" s="282">
        <f>SUBTOTAL(9,F25:F1610)</f>
        <v>3407425799.9999995</v>
      </c>
      <c r="I1611" s="227" t="s">
        <v>372</v>
      </c>
    </row>
  </sheetData>
  <autoFilter ref="G10:G1611">
    <filterColumn colId="0"/>
  </autoFilter>
  <mergeCells count="10">
    <mergeCell ref="A1:G1"/>
    <mergeCell ref="A2:G2"/>
    <mergeCell ref="A3:G3"/>
    <mergeCell ref="A5:A6"/>
    <mergeCell ref="B5:B6"/>
    <mergeCell ref="C5:C6"/>
    <mergeCell ref="D5:D6"/>
    <mergeCell ref="E5:E6"/>
    <mergeCell ref="F5:F6"/>
    <mergeCell ref="G5:G6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4294967293" verticalDpi="4294967293" r:id="rId1"/>
  <rowBreaks count="10" manualBreakCount="10">
    <brk id="75" max="6" man="1"/>
    <brk id="156" max="6" man="1"/>
    <brk id="233" max="6" man="1"/>
    <brk id="318" max="6" man="1"/>
    <brk id="399" max="6" man="1"/>
    <brk id="646" max="6" man="1"/>
    <brk id="727" max="6" man="1"/>
    <brk id="899" max="6" man="1"/>
    <brk id="986" max="6" man="1"/>
    <brk id="1071" max="6" man="1"/>
  </rowBreaks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B2:K26"/>
  <sheetViews>
    <sheetView view="pageBreakPreview" zoomScaleNormal="100" zoomScaleSheetLayoutView="100" workbookViewId="0">
      <selection activeCell="G25" sqref="G25"/>
    </sheetView>
  </sheetViews>
  <sheetFormatPr defaultRowHeight="15.75"/>
  <cols>
    <col min="1" max="1" width="1.25" customWidth="1"/>
    <col min="5" max="5" width="20.875" customWidth="1"/>
    <col min="6" max="7" width="7" customWidth="1"/>
    <col min="8" max="8" width="5.875" customWidth="1"/>
    <col min="9" max="9" width="16.875" customWidth="1"/>
    <col min="10" max="10" width="22.625" customWidth="1"/>
  </cols>
  <sheetData>
    <row r="2" spans="2:11" ht="27.75" customHeight="1">
      <c r="B2" s="908" t="s">
        <v>278</v>
      </c>
      <c r="C2" s="908"/>
      <c r="D2" s="908"/>
      <c r="E2" s="908"/>
      <c r="F2" s="908"/>
      <c r="G2" s="908"/>
      <c r="H2" s="908"/>
      <c r="I2" s="908"/>
      <c r="J2" s="908"/>
    </row>
    <row r="3" spans="2:11" ht="15" customHeight="1">
      <c r="B3" s="353" t="s">
        <v>256</v>
      </c>
      <c r="C3" s="354"/>
      <c r="D3" s="355" t="s">
        <v>279</v>
      </c>
      <c r="E3" s="354"/>
      <c r="F3" s="354"/>
      <c r="G3" s="354"/>
      <c r="H3" s="354"/>
      <c r="I3" s="354"/>
      <c r="J3" s="354"/>
    </row>
    <row r="4" spans="2:11" ht="15" customHeight="1">
      <c r="B4" s="353" t="s">
        <v>257</v>
      </c>
      <c r="C4" s="354"/>
      <c r="D4" s="355" t="str">
        <f>[42]Budget!C5</f>
        <v xml:space="preserve">: KAB.PASAMAN </v>
      </c>
      <c r="E4" s="354"/>
      <c r="F4" s="354"/>
      <c r="G4" s="354"/>
      <c r="H4" s="354"/>
      <c r="I4" s="354"/>
      <c r="J4" s="354"/>
    </row>
    <row r="5" spans="2:11" ht="17.25" thickBot="1">
      <c r="B5" s="356" t="s">
        <v>258</v>
      </c>
      <c r="C5" s="357"/>
      <c r="D5" s="357"/>
      <c r="E5" s="358"/>
      <c r="F5" s="358"/>
      <c r="G5" s="358"/>
      <c r="H5" s="358"/>
      <c r="I5" s="359"/>
      <c r="J5" s="359"/>
    </row>
    <row r="6" spans="2:11" ht="24" customHeight="1">
      <c r="B6" s="360" t="s">
        <v>259</v>
      </c>
      <c r="C6" s="909" t="s">
        <v>255</v>
      </c>
      <c r="D6" s="910"/>
      <c r="E6" s="910"/>
      <c r="F6" s="423"/>
      <c r="G6" s="361" t="s">
        <v>8</v>
      </c>
      <c r="H6" s="361" t="s">
        <v>9</v>
      </c>
      <c r="I6" s="362" t="s">
        <v>260</v>
      </c>
      <c r="J6" s="363" t="s">
        <v>261</v>
      </c>
    </row>
    <row r="7" spans="2:11" ht="15" customHeight="1">
      <c r="B7" s="381">
        <v>1</v>
      </c>
      <c r="C7" s="382" t="s">
        <v>280</v>
      </c>
      <c r="D7" s="383"/>
      <c r="E7" s="384"/>
      <c r="F7" s="424"/>
      <c r="G7" s="385">
        <v>1</v>
      </c>
      <c r="H7" s="386" t="s">
        <v>100</v>
      </c>
      <c r="I7" s="387">
        <f>Budget!I30</f>
        <v>42125</v>
      </c>
      <c r="J7" s="388">
        <f>Budget!J30</f>
        <v>42129</v>
      </c>
    </row>
    <row r="8" spans="2:11" ht="15" customHeight="1">
      <c r="B8" s="381">
        <f>B7+1</f>
        <v>2</v>
      </c>
      <c r="C8" s="382" t="s">
        <v>262</v>
      </c>
      <c r="D8" s="383"/>
      <c r="E8" s="384"/>
      <c r="F8" s="424"/>
      <c r="G8" s="385">
        <v>1</v>
      </c>
      <c r="H8" s="386" t="s">
        <v>100</v>
      </c>
      <c r="I8" s="387">
        <f>Budget!I31</f>
        <v>42125</v>
      </c>
      <c r="J8" s="388">
        <f>Budget!J75</f>
        <v>42168</v>
      </c>
    </row>
    <row r="9" spans="2:11" ht="15" customHeight="1">
      <c r="B9" s="381">
        <v>3</v>
      </c>
      <c r="C9" s="382" t="s">
        <v>263</v>
      </c>
      <c r="D9" s="383"/>
      <c r="E9" s="384"/>
      <c r="F9" s="424"/>
      <c r="G9" s="385">
        <v>1</v>
      </c>
      <c r="H9" s="386" t="s">
        <v>100</v>
      </c>
      <c r="I9" s="387">
        <f>Budget!I30</f>
        <v>42125</v>
      </c>
      <c r="J9" s="388">
        <f>Budget!J186</f>
        <v>42273</v>
      </c>
    </row>
    <row r="10" spans="2:11" ht="15" customHeight="1">
      <c r="B10" s="381">
        <f t="shared" ref="B10" si="0">B9+1</f>
        <v>4</v>
      </c>
      <c r="C10" s="382" t="s">
        <v>264</v>
      </c>
      <c r="D10" s="383"/>
      <c r="E10" s="384"/>
      <c r="F10" s="424"/>
      <c r="G10" s="385">
        <v>1</v>
      </c>
      <c r="H10" s="386" t="s">
        <v>100</v>
      </c>
      <c r="I10" s="387">
        <f>I9</f>
        <v>42125</v>
      </c>
      <c r="J10" s="388">
        <f>J9</f>
        <v>42273</v>
      </c>
    </row>
    <row r="11" spans="2:11" ht="15" customHeight="1">
      <c r="B11" s="381">
        <v>4</v>
      </c>
      <c r="C11" s="382" t="s">
        <v>270</v>
      </c>
      <c r="D11" s="426"/>
      <c r="E11" s="384"/>
      <c r="F11" s="424"/>
      <c r="G11" s="385">
        <v>9</v>
      </c>
      <c r="H11" s="386" t="s">
        <v>100</v>
      </c>
      <c r="I11" s="387">
        <f>I8</f>
        <v>42125</v>
      </c>
      <c r="J11" s="388">
        <f>J10</f>
        <v>42273</v>
      </c>
    </row>
    <row r="12" spans="2:11" s="422" customFormat="1" ht="15" customHeight="1">
      <c r="B12" s="381">
        <f t="shared" ref="B12" si="1">B11+1</f>
        <v>5</v>
      </c>
      <c r="C12" s="382" t="s">
        <v>265</v>
      </c>
      <c r="D12" s="383"/>
      <c r="E12" s="384"/>
      <c r="F12" s="424"/>
      <c r="G12" s="385">
        <v>1</v>
      </c>
      <c r="H12" s="386" t="s">
        <v>100</v>
      </c>
      <c r="I12" s="387">
        <f>Budget!I93</f>
        <v>42134</v>
      </c>
      <c r="J12" s="388">
        <f>J11</f>
        <v>42273</v>
      </c>
    </row>
    <row r="13" spans="2:11" ht="15" customHeight="1">
      <c r="B13" s="381">
        <v>5</v>
      </c>
      <c r="C13" s="382" t="s">
        <v>266</v>
      </c>
      <c r="D13" s="383"/>
      <c r="E13" s="384"/>
      <c r="F13" s="424"/>
      <c r="G13" s="385">
        <v>1</v>
      </c>
      <c r="H13" s="386" t="s">
        <v>100</v>
      </c>
      <c r="I13" s="387">
        <f>Budget!I155</f>
        <v>42235</v>
      </c>
      <c r="J13" s="388">
        <f>Budget!J154</f>
        <v>42247</v>
      </c>
    </row>
    <row r="14" spans="2:11" ht="15" customHeight="1">
      <c r="B14" s="381">
        <f t="shared" ref="B14" si="2">B13+1</f>
        <v>6</v>
      </c>
      <c r="C14" s="382" t="s">
        <v>267</v>
      </c>
      <c r="D14" s="383"/>
      <c r="E14" s="384"/>
      <c r="F14" s="424"/>
      <c r="G14" s="385">
        <v>1</v>
      </c>
      <c r="H14" s="386" t="s">
        <v>100</v>
      </c>
      <c r="I14" s="387">
        <f>I13</f>
        <v>42235</v>
      </c>
      <c r="J14" s="388">
        <f>J13</f>
        <v>42247</v>
      </c>
      <c r="K14" s="372"/>
    </row>
    <row r="15" spans="2:11">
      <c r="B15" s="381">
        <v>6</v>
      </c>
      <c r="C15" s="382" t="s">
        <v>268</v>
      </c>
      <c r="D15" s="383"/>
      <c r="E15" s="384"/>
      <c r="F15" s="424"/>
      <c r="G15" s="385">
        <v>1</v>
      </c>
      <c r="H15" s="386" t="s">
        <v>100</v>
      </c>
      <c r="I15" s="387">
        <f t="shared" ref="I15:I16" si="3">I14</f>
        <v>42235</v>
      </c>
      <c r="J15" s="388">
        <f t="shared" ref="J15:J16" si="4">J14</f>
        <v>42247</v>
      </c>
    </row>
    <row r="16" spans="2:11">
      <c r="B16" s="381">
        <f t="shared" ref="B16" si="5">B15+1</f>
        <v>7</v>
      </c>
      <c r="C16" s="382" t="s">
        <v>269</v>
      </c>
      <c r="D16" s="383"/>
      <c r="E16" s="384"/>
      <c r="F16" s="424"/>
      <c r="G16" s="385">
        <v>1</v>
      </c>
      <c r="H16" s="386" t="s">
        <v>100</v>
      </c>
      <c r="I16" s="387">
        <f t="shared" si="3"/>
        <v>42235</v>
      </c>
      <c r="J16" s="388">
        <f t="shared" si="4"/>
        <v>42247</v>
      </c>
    </row>
    <row r="17" spans="2:10" ht="16.5" thickBot="1">
      <c r="B17" s="373"/>
      <c r="C17" s="374"/>
      <c r="D17" s="375"/>
      <c r="E17" s="376"/>
      <c r="F17" s="425"/>
      <c r="G17" s="377"/>
      <c r="H17" s="378"/>
      <c r="I17" s="379"/>
      <c r="J17" s="380"/>
    </row>
    <row r="18" spans="2:10">
      <c r="B18" s="422"/>
      <c r="C18" s="422"/>
      <c r="D18" s="422"/>
      <c r="E18" s="422"/>
      <c r="F18" s="422"/>
      <c r="G18" s="422"/>
      <c r="H18" s="422"/>
    </row>
    <row r="19" spans="2:10" ht="17.25" thickBot="1">
      <c r="B19" s="356" t="s">
        <v>271</v>
      </c>
      <c r="C19" s="357"/>
      <c r="D19" s="357"/>
      <c r="E19" s="358"/>
      <c r="F19" s="358"/>
      <c r="G19" s="358"/>
      <c r="H19" s="358"/>
      <c r="I19" s="359"/>
      <c r="J19" s="359"/>
    </row>
    <row r="20" spans="2:10">
      <c r="B20" s="360" t="s">
        <v>259</v>
      </c>
      <c r="C20" s="909" t="s">
        <v>272</v>
      </c>
      <c r="D20" s="910"/>
      <c r="E20" s="911"/>
      <c r="F20" s="361" t="s">
        <v>8</v>
      </c>
      <c r="G20" s="361" t="s">
        <v>284</v>
      </c>
      <c r="H20" s="361" t="s">
        <v>9</v>
      </c>
      <c r="I20" s="362" t="s">
        <v>273</v>
      </c>
      <c r="J20" s="363" t="s">
        <v>274</v>
      </c>
    </row>
    <row r="21" spans="2:10">
      <c r="B21" s="364">
        <v>1</v>
      </c>
      <c r="C21" s="365" t="s">
        <v>21</v>
      </c>
      <c r="D21" s="366"/>
      <c r="E21" s="367"/>
      <c r="F21" s="368">
        <f>Budget!H151</f>
        <v>4559</v>
      </c>
      <c r="G21" s="368">
        <f>F21*1.3</f>
        <v>5926.7</v>
      </c>
      <c r="H21" s="369" t="s">
        <v>15</v>
      </c>
      <c r="I21" s="370">
        <f>Budget!I133</f>
        <v>42190</v>
      </c>
      <c r="J21" s="371">
        <f>Budget!J132</f>
        <v>42233</v>
      </c>
    </row>
    <row r="22" spans="2:10">
      <c r="B22" s="364">
        <f>B21+1</f>
        <v>2</v>
      </c>
      <c r="C22" s="365" t="s">
        <v>275</v>
      </c>
      <c r="D22" s="366"/>
      <c r="E22" s="367"/>
      <c r="F22" s="368">
        <f>Budget!H204</f>
        <v>2460</v>
      </c>
      <c r="G22" s="368">
        <f>Budget!D186</f>
        <v>3198</v>
      </c>
      <c r="H22" s="369" t="s">
        <v>15</v>
      </c>
      <c r="I22" s="370">
        <f>Budget!I186</f>
        <v>42258</v>
      </c>
      <c r="J22" s="371">
        <f>Budget!J186</f>
        <v>42273</v>
      </c>
    </row>
    <row r="23" spans="2:10">
      <c r="B23" s="364">
        <f>B21+1</f>
        <v>2</v>
      </c>
      <c r="C23" s="365" t="s">
        <v>283</v>
      </c>
      <c r="D23" s="366"/>
      <c r="E23" s="367"/>
      <c r="F23" s="368">
        <f>Budget!H107</f>
        <v>4106.25</v>
      </c>
      <c r="G23" s="368">
        <f>F23</f>
        <v>4106.25</v>
      </c>
      <c r="H23" s="369" t="s">
        <v>15</v>
      </c>
      <c r="I23" s="370">
        <f>Budget!I92</f>
        <v>42134</v>
      </c>
      <c r="J23" s="371">
        <f>Budget!J92</f>
        <v>42257</v>
      </c>
    </row>
    <row r="24" spans="2:10" s="128" customFormat="1">
      <c r="B24" s="364">
        <f>B22+1</f>
        <v>3</v>
      </c>
      <c r="C24" s="365" t="s">
        <v>276</v>
      </c>
      <c r="D24" s="366"/>
      <c r="E24" s="367"/>
      <c r="F24" s="368">
        <f>Budget!H129</f>
        <v>7056</v>
      </c>
      <c r="G24" s="368">
        <f>Budget!D111</f>
        <v>9172.8000000000011</v>
      </c>
      <c r="H24" s="369" t="s">
        <v>15</v>
      </c>
      <c r="I24" s="370">
        <f>Budget!I110</f>
        <v>42144</v>
      </c>
      <c r="J24" s="371">
        <f>Budget!J110</f>
        <v>42189</v>
      </c>
    </row>
    <row r="25" spans="2:10">
      <c r="B25" s="364">
        <f t="shared" ref="B25" si="6">B24+1</f>
        <v>4</v>
      </c>
      <c r="C25" s="365" t="s">
        <v>277</v>
      </c>
      <c r="D25" s="366"/>
      <c r="E25" s="367"/>
      <c r="F25" s="368">
        <f>Budget!H168</f>
        <v>2485.06</v>
      </c>
      <c r="G25" s="368">
        <f>Budget!D164</f>
        <v>4680</v>
      </c>
      <c r="H25" s="369" t="s">
        <v>92</v>
      </c>
      <c r="I25" s="370">
        <f>Budget!I154</f>
        <v>42235</v>
      </c>
      <c r="J25" s="371">
        <f>Budget!J154</f>
        <v>42247</v>
      </c>
    </row>
    <row r="26" spans="2:10" ht="16.5" thickBot="1">
      <c r="B26" s="373"/>
      <c r="C26" s="374"/>
      <c r="D26" s="375"/>
      <c r="E26" s="376"/>
      <c r="F26" s="377"/>
      <c r="G26" s="377"/>
      <c r="H26" s="378"/>
      <c r="I26" s="379"/>
      <c r="J26" s="380"/>
    </row>
  </sheetData>
  <mergeCells count="3">
    <mergeCell ref="B2:J2"/>
    <mergeCell ref="C6:E6"/>
    <mergeCell ref="C20:E20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2"/>
  <sheetViews>
    <sheetView view="pageBreakPreview" zoomScale="87" zoomScaleNormal="100" zoomScaleSheetLayoutView="87" workbookViewId="0">
      <selection activeCell="H17" sqref="H17"/>
    </sheetView>
  </sheetViews>
  <sheetFormatPr defaultRowHeight="12.75"/>
  <cols>
    <col min="1" max="1" width="5.375" style="428" customWidth="1"/>
    <col min="2" max="2" width="1.125" style="428" customWidth="1"/>
    <col min="3" max="3" width="12" style="428" customWidth="1"/>
    <col min="4" max="4" width="3" style="428" customWidth="1"/>
    <col min="5" max="5" width="30.125" style="428" customWidth="1"/>
    <col min="6" max="6" width="7.5" style="428" customWidth="1"/>
    <col min="7" max="7" width="11" style="428" customWidth="1"/>
    <col min="8" max="8" width="15.375" style="428" customWidth="1"/>
    <col min="9" max="9" width="20.125" style="428" customWidth="1"/>
    <col min="10" max="10" width="9" style="428"/>
    <col min="11" max="11" width="2.375" style="428" customWidth="1"/>
    <col min="12" max="12" width="9" style="428"/>
    <col min="13" max="13" width="11.25" style="428" bestFit="1" customWidth="1"/>
    <col min="14" max="14" width="9" style="428"/>
    <col min="15" max="15" width="13.125" style="428" customWidth="1"/>
    <col min="16" max="16" width="7" style="428" bestFit="1" customWidth="1"/>
    <col min="17" max="256" width="9" style="428"/>
    <col min="257" max="257" width="5.375" style="428" customWidth="1"/>
    <col min="258" max="258" width="1.125" style="428" customWidth="1"/>
    <col min="259" max="259" width="12" style="428" customWidth="1"/>
    <col min="260" max="260" width="3" style="428" customWidth="1"/>
    <col min="261" max="261" width="38.25" style="428" customWidth="1"/>
    <col min="262" max="262" width="7.5" style="428" customWidth="1"/>
    <col min="263" max="263" width="11" style="428" customWidth="1"/>
    <col min="264" max="264" width="15.375" style="428" customWidth="1"/>
    <col min="265" max="265" width="17.625" style="428" customWidth="1"/>
    <col min="266" max="266" width="9" style="428"/>
    <col min="267" max="267" width="2.375" style="428" customWidth="1"/>
    <col min="268" max="268" width="9" style="428"/>
    <col min="269" max="269" width="11.25" style="428" bestFit="1" customWidth="1"/>
    <col min="270" max="270" width="9" style="428"/>
    <col min="271" max="271" width="13.125" style="428" customWidth="1"/>
    <col min="272" max="272" width="7" style="428" bestFit="1" customWidth="1"/>
    <col min="273" max="512" width="9" style="428"/>
    <col min="513" max="513" width="5.375" style="428" customWidth="1"/>
    <col min="514" max="514" width="1.125" style="428" customWidth="1"/>
    <col min="515" max="515" width="12" style="428" customWidth="1"/>
    <col min="516" max="516" width="3" style="428" customWidth="1"/>
    <col min="517" max="517" width="38.25" style="428" customWidth="1"/>
    <col min="518" max="518" width="7.5" style="428" customWidth="1"/>
    <col min="519" max="519" width="11" style="428" customWidth="1"/>
    <col min="520" max="520" width="15.375" style="428" customWidth="1"/>
    <col min="521" max="521" width="17.625" style="428" customWidth="1"/>
    <col min="522" max="522" width="9" style="428"/>
    <col min="523" max="523" width="2.375" style="428" customWidth="1"/>
    <col min="524" max="524" width="9" style="428"/>
    <col min="525" max="525" width="11.25" style="428" bestFit="1" customWidth="1"/>
    <col min="526" max="526" width="9" style="428"/>
    <col min="527" max="527" width="13.125" style="428" customWidth="1"/>
    <col min="528" max="528" width="7" style="428" bestFit="1" customWidth="1"/>
    <col min="529" max="768" width="9" style="428"/>
    <col min="769" max="769" width="5.375" style="428" customWidth="1"/>
    <col min="770" max="770" width="1.125" style="428" customWidth="1"/>
    <col min="771" max="771" width="12" style="428" customWidth="1"/>
    <col min="772" max="772" width="3" style="428" customWidth="1"/>
    <col min="773" max="773" width="38.25" style="428" customWidth="1"/>
    <col min="774" max="774" width="7.5" style="428" customWidth="1"/>
    <col min="775" max="775" width="11" style="428" customWidth="1"/>
    <col min="776" max="776" width="15.375" style="428" customWidth="1"/>
    <col min="777" max="777" width="17.625" style="428" customWidth="1"/>
    <col min="778" max="778" width="9" style="428"/>
    <col min="779" max="779" width="2.375" style="428" customWidth="1"/>
    <col min="780" max="780" width="9" style="428"/>
    <col min="781" max="781" width="11.25" style="428" bestFit="1" customWidth="1"/>
    <col min="782" max="782" width="9" style="428"/>
    <col min="783" max="783" width="13.125" style="428" customWidth="1"/>
    <col min="784" max="784" width="7" style="428" bestFit="1" customWidth="1"/>
    <col min="785" max="1024" width="9" style="428"/>
    <col min="1025" max="1025" width="5.375" style="428" customWidth="1"/>
    <col min="1026" max="1026" width="1.125" style="428" customWidth="1"/>
    <col min="1027" max="1027" width="12" style="428" customWidth="1"/>
    <col min="1028" max="1028" width="3" style="428" customWidth="1"/>
    <col min="1029" max="1029" width="38.25" style="428" customWidth="1"/>
    <col min="1030" max="1030" width="7.5" style="428" customWidth="1"/>
    <col min="1031" max="1031" width="11" style="428" customWidth="1"/>
    <col min="1032" max="1032" width="15.375" style="428" customWidth="1"/>
    <col min="1033" max="1033" width="17.625" style="428" customWidth="1"/>
    <col min="1034" max="1034" width="9" style="428"/>
    <col min="1035" max="1035" width="2.375" style="428" customWidth="1"/>
    <col min="1036" max="1036" width="9" style="428"/>
    <col min="1037" max="1037" width="11.25" style="428" bestFit="1" customWidth="1"/>
    <col min="1038" max="1038" width="9" style="428"/>
    <col min="1039" max="1039" width="13.125" style="428" customWidth="1"/>
    <col min="1040" max="1040" width="7" style="428" bestFit="1" customWidth="1"/>
    <col min="1041" max="1280" width="9" style="428"/>
    <col min="1281" max="1281" width="5.375" style="428" customWidth="1"/>
    <col min="1282" max="1282" width="1.125" style="428" customWidth="1"/>
    <col min="1283" max="1283" width="12" style="428" customWidth="1"/>
    <col min="1284" max="1284" width="3" style="428" customWidth="1"/>
    <col min="1285" max="1285" width="38.25" style="428" customWidth="1"/>
    <col min="1286" max="1286" width="7.5" style="428" customWidth="1"/>
    <col min="1287" max="1287" width="11" style="428" customWidth="1"/>
    <col min="1288" max="1288" width="15.375" style="428" customWidth="1"/>
    <col min="1289" max="1289" width="17.625" style="428" customWidth="1"/>
    <col min="1290" max="1290" width="9" style="428"/>
    <col min="1291" max="1291" width="2.375" style="428" customWidth="1"/>
    <col min="1292" max="1292" width="9" style="428"/>
    <col min="1293" max="1293" width="11.25" style="428" bestFit="1" customWidth="1"/>
    <col min="1294" max="1294" width="9" style="428"/>
    <col min="1295" max="1295" width="13.125" style="428" customWidth="1"/>
    <col min="1296" max="1296" width="7" style="428" bestFit="1" customWidth="1"/>
    <col min="1297" max="1536" width="9" style="428"/>
    <col min="1537" max="1537" width="5.375" style="428" customWidth="1"/>
    <col min="1538" max="1538" width="1.125" style="428" customWidth="1"/>
    <col min="1539" max="1539" width="12" style="428" customWidth="1"/>
    <col min="1540" max="1540" width="3" style="428" customWidth="1"/>
    <col min="1541" max="1541" width="38.25" style="428" customWidth="1"/>
    <col min="1542" max="1542" width="7.5" style="428" customWidth="1"/>
    <col min="1543" max="1543" width="11" style="428" customWidth="1"/>
    <col min="1544" max="1544" width="15.375" style="428" customWidth="1"/>
    <col min="1545" max="1545" width="17.625" style="428" customWidth="1"/>
    <col min="1546" max="1546" width="9" style="428"/>
    <col min="1547" max="1547" width="2.375" style="428" customWidth="1"/>
    <col min="1548" max="1548" width="9" style="428"/>
    <col min="1549" max="1549" width="11.25" style="428" bestFit="1" customWidth="1"/>
    <col min="1550" max="1550" width="9" style="428"/>
    <col min="1551" max="1551" width="13.125" style="428" customWidth="1"/>
    <col min="1552" max="1552" width="7" style="428" bestFit="1" customWidth="1"/>
    <col min="1553" max="1792" width="9" style="428"/>
    <col min="1793" max="1793" width="5.375" style="428" customWidth="1"/>
    <col min="1794" max="1794" width="1.125" style="428" customWidth="1"/>
    <col min="1795" max="1795" width="12" style="428" customWidth="1"/>
    <col min="1796" max="1796" width="3" style="428" customWidth="1"/>
    <col min="1797" max="1797" width="38.25" style="428" customWidth="1"/>
    <col min="1798" max="1798" width="7.5" style="428" customWidth="1"/>
    <col min="1799" max="1799" width="11" style="428" customWidth="1"/>
    <col min="1800" max="1800" width="15.375" style="428" customWidth="1"/>
    <col min="1801" max="1801" width="17.625" style="428" customWidth="1"/>
    <col min="1802" max="1802" width="9" style="428"/>
    <col min="1803" max="1803" width="2.375" style="428" customWidth="1"/>
    <col min="1804" max="1804" width="9" style="428"/>
    <col min="1805" max="1805" width="11.25" style="428" bestFit="1" customWidth="1"/>
    <col min="1806" max="1806" width="9" style="428"/>
    <col min="1807" max="1807" width="13.125" style="428" customWidth="1"/>
    <col min="1808" max="1808" width="7" style="428" bestFit="1" customWidth="1"/>
    <col min="1809" max="2048" width="9" style="428"/>
    <col min="2049" max="2049" width="5.375" style="428" customWidth="1"/>
    <col min="2050" max="2050" width="1.125" style="428" customWidth="1"/>
    <col min="2051" max="2051" width="12" style="428" customWidth="1"/>
    <col min="2052" max="2052" width="3" style="428" customWidth="1"/>
    <col min="2053" max="2053" width="38.25" style="428" customWidth="1"/>
    <col min="2054" max="2054" width="7.5" style="428" customWidth="1"/>
    <col min="2055" max="2055" width="11" style="428" customWidth="1"/>
    <col min="2056" max="2056" width="15.375" style="428" customWidth="1"/>
    <col min="2057" max="2057" width="17.625" style="428" customWidth="1"/>
    <col min="2058" max="2058" width="9" style="428"/>
    <col min="2059" max="2059" width="2.375" style="428" customWidth="1"/>
    <col min="2060" max="2060" width="9" style="428"/>
    <col min="2061" max="2061" width="11.25" style="428" bestFit="1" customWidth="1"/>
    <col min="2062" max="2062" width="9" style="428"/>
    <col min="2063" max="2063" width="13.125" style="428" customWidth="1"/>
    <col min="2064" max="2064" width="7" style="428" bestFit="1" customWidth="1"/>
    <col min="2065" max="2304" width="9" style="428"/>
    <col min="2305" max="2305" width="5.375" style="428" customWidth="1"/>
    <col min="2306" max="2306" width="1.125" style="428" customWidth="1"/>
    <col min="2307" max="2307" width="12" style="428" customWidth="1"/>
    <col min="2308" max="2308" width="3" style="428" customWidth="1"/>
    <col min="2309" max="2309" width="38.25" style="428" customWidth="1"/>
    <col min="2310" max="2310" width="7.5" style="428" customWidth="1"/>
    <col min="2311" max="2311" width="11" style="428" customWidth="1"/>
    <col min="2312" max="2312" width="15.375" style="428" customWidth="1"/>
    <col min="2313" max="2313" width="17.625" style="428" customWidth="1"/>
    <col min="2314" max="2314" width="9" style="428"/>
    <col min="2315" max="2315" width="2.375" style="428" customWidth="1"/>
    <col min="2316" max="2316" width="9" style="428"/>
    <col min="2317" max="2317" width="11.25" style="428" bestFit="1" customWidth="1"/>
    <col min="2318" max="2318" width="9" style="428"/>
    <col min="2319" max="2319" width="13.125" style="428" customWidth="1"/>
    <col min="2320" max="2320" width="7" style="428" bestFit="1" customWidth="1"/>
    <col min="2321" max="2560" width="9" style="428"/>
    <col min="2561" max="2561" width="5.375" style="428" customWidth="1"/>
    <col min="2562" max="2562" width="1.125" style="428" customWidth="1"/>
    <col min="2563" max="2563" width="12" style="428" customWidth="1"/>
    <col min="2564" max="2564" width="3" style="428" customWidth="1"/>
    <col min="2565" max="2565" width="38.25" style="428" customWidth="1"/>
    <col min="2566" max="2566" width="7.5" style="428" customWidth="1"/>
    <col min="2567" max="2567" width="11" style="428" customWidth="1"/>
    <col min="2568" max="2568" width="15.375" style="428" customWidth="1"/>
    <col min="2569" max="2569" width="17.625" style="428" customWidth="1"/>
    <col min="2570" max="2570" width="9" style="428"/>
    <col min="2571" max="2571" width="2.375" style="428" customWidth="1"/>
    <col min="2572" max="2572" width="9" style="428"/>
    <col min="2573" max="2573" width="11.25" style="428" bestFit="1" customWidth="1"/>
    <col min="2574" max="2574" width="9" style="428"/>
    <col min="2575" max="2575" width="13.125" style="428" customWidth="1"/>
    <col min="2576" max="2576" width="7" style="428" bestFit="1" customWidth="1"/>
    <col min="2577" max="2816" width="9" style="428"/>
    <col min="2817" max="2817" width="5.375" style="428" customWidth="1"/>
    <col min="2818" max="2818" width="1.125" style="428" customWidth="1"/>
    <col min="2819" max="2819" width="12" style="428" customWidth="1"/>
    <col min="2820" max="2820" width="3" style="428" customWidth="1"/>
    <col min="2821" max="2821" width="38.25" style="428" customWidth="1"/>
    <col min="2822" max="2822" width="7.5" style="428" customWidth="1"/>
    <col min="2823" max="2823" width="11" style="428" customWidth="1"/>
    <col min="2824" max="2824" width="15.375" style="428" customWidth="1"/>
    <col min="2825" max="2825" width="17.625" style="428" customWidth="1"/>
    <col min="2826" max="2826" width="9" style="428"/>
    <col min="2827" max="2827" width="2.375" style="428" customWidth="1"/>
    <col min="2828" max="2828" width="9" style="428"/>
    <col min="2829" max="2829" width="11.25" style="428" bestFit="1" customWidth="1"/>
    <col min="2830" max="2830" width="9" style="428"/>
    <col min="2831" max="2831" width="13.125" style="428" customWidth="1"/>
    <col min="2832" max="2832" width="7" style="428" bestFit="1" customWidth="1"/>
    <col min="2833" max="3072" width="9" style="428"/>
    <col min="3073" max="3073" width="5.375" style="428" customWidth="1"/>
    <col min="3074" max="3074" width="1.125" style="428" customWidth="1"/>
    <col min="3075" max="3075" width="12" style="428" customWidth="1"/>
    <col min="3076" max="3076" width="3" style="428" customWidth="1"/>
    <col min="3077" max="3077" width="38.25" style="428" customWidth="1"/>
    <col min="3078" max="3078" width="7.5" style="428" customWidth="1"/>
    <col min="3079" max="3079" width="11" style="428" customWidth="1"/>
    <col min="3080" max="3080" width="15.375" style="428" customWidth="1"/>
    <col min="3081" max="3081" width="17.625" style="428" customWidth="1"/>
    <col min="3082" max="3082" width="9" style="428"/>
    <col min="3083" max="3083" width="2.375" style="428" customWidth="1"/>
    <col min="3084" max="3084" width="9" style="428"/>
    <col min="3085" max="3085" width="11.25" style="428" bestFit="1" customWidth="1"/>
    <col min="3086" max="3086" width="9" style="428"/>
    <col min="3087" max="3087" width="13.125" style="428" customWidth="1"/>
    <col min="3088" max="3088" width="7" style="428" bestFit="1" customWidth="1"/>
    <col min="3089" max="3328" width="9" style="428"/>
    <col min="3329" max="3329" width="5.375" style="428" customWidth="1"/>
    <col min="3330" max="3330" width="1.125" style="428" customWidth="1"/>
    <col min="3331" max="3331" width="12" style="428" customWidth="1"/>
    <col min="3332" max="3332" width="3" style="428" customWidth="1"/>
    <col min="3333" max="3333" width="38.25" style="428" customWidth="1"/>
    <col min="3334" max="3334" width="7.5" style="428" customWidth="1"/>
    <col min="3335" max="3335" width="11" style="428" customWidth="1"/>
    <col min="3336" max="3336" width="15.375" style="428" customWidth="1"/>
    <col min="3337" max="3337" width="17.625" style="428" customWidth="1"/>
    <col min="3338" max="3338" width="9" style="428"/>
    <col min="3339" max="3339" width="2.375" style="428" customWidth="1"/>
    <col min="3340" max="3340" width="9" style="428"/>
    <col min="3341" max="3341" width="11.25" style="428" bestFit="1" customWidth="1"/>
    <col min="3342" max="3342" width="9" style="428"/>
    <col min="3343" max="3343" width="13.125" style="428" customWidth="1"/>
    <col min="3344" max="3344" width="7" style="428" bestFit="1" customWidth="1"/>
    <col min="3345" max="3584" width="9" style="428"/>
    <col min="3585" max="3585" width="5.375" style="428" customWidth="1"/>
    <col min="3586" max="3586" width="1.125" style="428" customWidth="1"/>
    <col min="3587" max="3587" width="12" style="428" customWidth="1"/>
    <col min="3588" max="3588" width="3" style="428" customWidth="1"/>
    <col min="3589" max="3589" width="38.25" style="428" customWidth="1"/>
    <col min="3590" max="3590" width="7.5" style="428" customWidth="1"/>
    <col min="3591" max="3591" width="11" style="428" customWidth="1"/>
    <col min="3592" max="3592" width="15.375" style="428" customWidth="1"/>
    <col min="3593" max="3593" width="17.625" style="428" customWidth="1"/>
    <col min="3594" max="3594" width="9" style="428"/>
    <col min="3595" max="3595" width="2.375" style="428" customWidth="1"/>
    <col min="3596" max="3596" width="9" style="428"/>
    <col min="3597" max="3597" width="11.25" style="428" bestFit="1" customWidth="1"/>
    <col min="3598" max="3598" width="9" style="428"/>
    <col min="3599" max="3599" width="13.125" style="428" customWidth="1"/>
    <col min="3600" max="3600" width="7" style="428" bestFit="1" customWidth="1"/>
    <col min="3601" max="3840" width="9" style="428"/>
    <col min="3841" max="3841" width="5.375" style="428" customWidth="1"/>
    <col min="3842" max="3842" width="1.125" style="428" customWidth="1"/>
    <col min="3843" max="3843" width="12" style="428" customWidth="1"/>
    <col min="3844" max="3844" width="3" style="428" customWidth="1"/>
    <col min="3845" max="3845" width="38.25" style="428" customWidth="1"/>
    <col min="3846" max="3846" width="7.5" style="428" customWidth="1"/>
    <col min="3847" max="3847" width="11" style="428" customWidth="1"/>
    <col min="3848" max="3848" width="15.375" style="428" customWidth="1"/>
    <col min="3849" max="3849" width="17.625" style="428" customWidth="1"/>
    <col min="3850" max="3850" width="9" style="428"/>
    <col min="3851" max="3851" width="2.375" style="428" customWidth="1"/>
    <col min="3852" max="3852" width="9" style="428"/>
    <col min="3853" max="3853" width="11.25" style="428" bestFit="1" customWidth="1"/>
    <col min="3854" max="3854" width="9" style="428"/>
    <col min="3855" max="3855" width="13.125" style="428" customWidth="1"/>
    <col min="3856" max="3856" width="7" style="428" bestFit="1" customWidth="1"/>
    <col min="3857" max="4096" width="9" style="428"/>
    <col min="4097" max="4097" width="5.375" style="428" customWidth="1"/>
    <col min="4098" max="4098" width="1.125" style="428" customWidth="1"/>
    <col min="4099" max="4099" width="12" style="428" customWidth="1"/>
    <col min="4100" max="4100" width="3" style="428" customWidth="1"/>
    <col min="4101" max="4101" width="38.25" style="428" customWidth="1"/>
    <col min="4102" max="4102" width="7.5" style="428" customWidth="1"/>
    <col min="4103" max="4103" width="11" style="428" customWidth="1"/>
    <col min="4104" max="4104" width="15.375" style="428" customWidth="1"/>
    <col min="4105" max="4105" width="17.625" style="428" customWidth="1"/>
    <col min="4106" max="4106" width="9" style="428"/>
    <col min="4107" max="4107" width="2.375" style="428" customWidth="1"/>
    <col min="4108" max="4108" width="9" style="428"/>
    <col min="4109" max="4109" width="11.25" style="428" bestFit="1" customWidth="1"/>
    <col min="4110" max="4110" width="9" style="428"/>
    <col min="4111" max="4111" width="13.125" style="428" customWidth="1"/>
    <col min="4112" max="4112" width="7" style="428" bestFit="1" customWidth="1"/>
    <col min="4113" max="4352" width="9" style="428"/>
    <col min="4353" max="4353" width="5.375" style="428" customWidth="1"/>
    <col min="4354" max="4354" width="1.125" style="428" customWidth="1"/>
    <col min="4355" max="4355" width="12" style="428" customWidth="1"/>
    <col min="4356" max="4356" width="3" style="428" customWidth="1"/>
    <col min="4357" max="4357" width="38.25" style="428" customWidth="1"/>
    <col min="4358" max="4358" width="7.5" style="428" customWidth="1"/>
    <col min="4359" max="4359" width="11" style="428" customWidth="1"/>
    <col min="4360" max="4360" width="15.375" style="428" customWidth="1"/>
    <col min="4361" max="4361" width="17.625" style="428" customWidth="1"/>
    <col min="4362" max="4362" width="9" style="428"/>
    <col min="4363" max="4363" width="2.375" style="428" customWidth="1"/>
    <col min="4364" max="4364" width="9" style="428"/>
    <col min="4365" max="4365" width="11.25" style="428" bestFit="1" customWidth="1"/>
    <col min="4366" max="4366" width="9" style="428"/>
    <col min="4367" max="4367" width="13.125" style="428" customWidth="1"/>
    <col min="4368" max="4368" width="7" style="428" bestFit="1" customWidth="1"/>
    <col min="4369" max="4608" width="9" style="428"/>
    <col min="4609" max="4609" width="5.375" style="428" customWidth="1"/>
    <col min="4610" max="4610" width="1.125" style="428" customWidth="1"/>
    <col min="4611" max="4611" width="12" style="428" customWidth="1"/>
    <col min="4612" max="4612" width="3" style="428" customWidth="1"/>
    <col min="4613" max="4613" width="38.25" style="428" customWidth="1"/>
    <col min="4614" max="4614" width="7.5" style="428" customWidth="1"/>
    <col min="4615" max="4615" width="11" style="428" customWidth="1"/>
    <col min="4616" max="4616" width="15.375" style="428" customWidth="1"/>
    <col min="4617" max="4617" width="17.625" style="428" customWidth="1"/>
    <col min="4618" max="4618" width="9" style="428"/>
    <col min="4619" max="4619" width="2.375" style="428" customWidth="1"/>
    <col min="4620" max="4620" width="9" style="428"/>
    <col min="4621" max="4621" width="11.25" style="428" bestFit="1" customWidth="1"/>
    <col min="4622" max="4622" width="9" style="428"/>
    <col min="4623" max="4623" width="13.125" style="428" customWidth="1"/>
    <col min="4624" max="4624" width="7" style="428" bestFit="1" customWidth="1"/>
    <col min="4625" max="4864" width="9" style="428"/>
    <col min="4865" max="4865" width="5.375" style="428" customWidth="1"/>
    <col min="4866" max="4866" width="1.125" style="428" customWidth="1"/>
    <col min="4867" max="4867" width="12" style="428" customWidth="1"/>
    <col min="4868" max="4868" width="3" style="428" customWidth="1"/>
    <col min="4869" max="4869" width="38.25" style="428" customWidth="1"/>
    <col min="4870" max="4870" width="7.5" style="428" customWidth="1"/>
    <col min="4871" max="4871" width="11" style="428" customWidth="1"/>
    <col min="4872" max="4872" width="15.375" style="428" customWidth="1"/>
    <col min="4873" max="4873" width="17.625" style="428" customWidth="1"/>
    <col min="4874" max="4874" width="9" style="428"/>
    <col min="4875" max="4875" width="2.375" style="428" customWidth="1"/>
    <col min="4876" max="4876" width="9" style="428"/>
    <col min="4877" max="4877" width="11.25" style="428" bestFit="1" customWidth="1"/>
    <col min="4878" max="4878" width="9" style="428"/>
    <col min="4879" max="4879" width="13.125" style="428" customWidth="1"/>
    <col min="4880" max="4880" width="7" style="428" bestFit="1" customWidth="1"/>
    <col min="4881" max="5120" width="9" style="428"/>
    <col min="5121" max="5121" width="5.375" style="428" customWidth="1"/>
    <col min="5122" max="5122" width="1.125" style="428" customWidth="1"/>
    <col min="5123" max="5123" width="12" style="428" customWidth="1"/>
    <col min="5124" max="5124" width="3" style="428" customWidth="1"/>
    <col min="5125" max="5125" width="38.25" style="428" customWidth="1"/>
    <col min="5126" max="5126" width="7.5" style="428" customWidth="1"/>
    <col min="5127" max="5127" width="11" style="428" customWidth="1"/>
    <col min="5128" max="5128" width="15.375" style="428" customWidth="1"/>
    <col min="5129" max="5129" width="17.625" style="428" customWidth="1"/>
    <col min="5130" max="5130" width="9" style="428"/>
    <col min="5131" max="5131" width="2.375" style="428" customWidth="1"/>
    <col min="5132" max="5132" width="9" style="428"/>
    <col min="5133" max="5133" width="11.25" style="428" bestFit="1" customWidth="1"/>
    <col min="5134" max="5134" width="9" style="428"/>
    <col min="5135" max="5135" width="13.125" style="428" customWidth="1"/>
    <col min="5136" max="5136" width="7" style="428" bestFit="1" customWidth="1"/>
    <col min="5137" max="5376" width="9" style="428"/>
    <col min="5377" max="5377" width="5.375" style="428" customWidth="1"/>
    <col min="5378" max="5378" width="1.125" style="428" customWidth="1"/>
    <col min="5379" max="5379" width="12" style="428" customWidth="1"/>
    <col min="5380" max="5380" width="3" style="428" customWidth="1"/>
    <col min="5381" max="5381" width="38.25" style="428" customWidth="1"/>
    <col min="5382" max="5382" width="7.5" style="428" customWidth="1"/>
    <col min="5383" max="5383" width="11" style="428" customWidth="1"/>
    <col min="5384" max="5384" width="15.375" style="428" customWidth="1"/>
    <col min="5385" max="5385" width="17.625" style="428" customWidth="1"/>
    <col min="5386" max="5386" width="9" style="428"/>
    <col min="5387" max="5387" width="2.375" style="428" customWidth="1"/>
    <col min="5388" max="5388" width="9" style="428"/>
    <col min="5389" max="5389" width="11.25" style="428" bestFit="1" customWidth="1"/>
    <col min="5390" max="5390" width="9" style="428"/>
    <col min="5391" max="5391" width="13.125" style="428" customWidth="1"/>
    <col min="5392" max="5392" width="7" style="428" bestFit="1" customWidth="1"/>
    <col min="5393" max="5632" width="9" style="428"/>
    <col min="5633" max="5633" width="5.375" style="428" customWidth="1"/>
    <col min="5634" max="5634" width="1.125" style="428" customWidth="1"/>
    <col min="5635" max="5635" width="12" style="428" customWidth="1"/>
    <col min="5636" max="5636" width="3" style="428" customWidth="1"/>
    <col min="5637" max="5637" width="38.25" style="428" customWidth="1"/>
    <col min="5638" max="5638" width="7.5" style="428" customWidth="1"/>
    <col min="5639" max="5639" width="11" style="428" customWidth="1"/>
    <col min="5640" max="5640" width="15.375" style="428" customWidth="1"/>
    <col min="5641" max="5641" width="17.625" style="428" customWidth="1"/>
    <col min="5642" max="5642" width="9" style="428"/>
    <col min="5643" max="5643" width="2.375" style="428" customWidth="1"/>
    <col min="5644" max="5644" width="9" style="428"/>
    <col min="5645" max="5645" width="11.25" style="428" bestFit="1" customWidth="1"/>
    <col min="5646" max="5646" width="9" style="428"/>
    <col min="5647" max="5647" width="13.125" style="428" customWidth="1"/>
    <col min="5648" max="5648" width="7" style="428" bestFit="1" customWidth="1"/>
    <col min="5649" max="5888" width="9" style="428"/>
    <col min="5889" max="5889" width="5.375" style="428" customWidth="1"/>
    <col min="5890" max="5890" width="1.125" style="428" customWidth="1"/>
    <col min="5891" max="5891" width="12" style="428" customWidth="1"/>
    <col min="5892" max="5892" width="3" style="428" customWidth="1"/>
    <col min="5893" max="5893" width="38.25" style="428" customWidth="1"/>
    <col min="5894" max="5894" width="7.5" style="428" customWidth="1"/>
    <col min="5895" max="5895" width="11" style="428" customWidth="1"/>
    <col min="5896" max="5896" width="15.375" style="428" customWidth="1"/>
    <col min="5897" max="5897" width="17.625" style="428" customWidth="1"/>
    <col min="5898" max="5898" width="9" style="428"/>
    <col min="5899" max="5899" width="2.375" style="428" customWidth="1"/>
    <col min="5900" max="5900" width="9" style="428"/>
    <col min="5901" max="5901" width="11.25" style="428" bestFit="1" customWidth="1"/>
    <col min="5902" max="5902" width="9" style="428"/>
    <col min="5903" max="5903" width="13.125" style="428" customWidth="1"/>
    <col min="5904" max="5904" width="7" style="428" bestFit="1" customWidth="1"/>
    <col min="5905" max="6144" width="9" style="428"/>
    <col min="6145" max="6145" width="5.375" style="428" customWidth="1"/>
    <col min="6146" max="6146" width="1.125" style="428" customWidth="1"/>
    <col min="6147" max="6147" width="12" style="428" customWidth="1"/>
    <col min="6148" max="6148" width="3" style="428" customWidth="1"/>
    <col min="6149" max="6149" width="38.25" style="428" customWidth="1"/>
    <col min="6150" max="6150" width="7.5" style="428" customWidth="1"/>
    <col min="6151" max="6151" width="11" style="428" customWidth="1"/>
    <col min="6152" max="6152" width="15.375" style="428" customWidth="1"/>
    <col min="6153" max="6153" width="17.625" style="428" customWidth="1"/>
    <col min="6154" max="6154" width="9" style="428"/>
    <col min="6155" max="6155" width="2.375" style="428" customWidth="1"/>
    <col min="6156" max="6156" width="9" style="428"/>
    <col min="6157" max="6157" width="11.25" style="428" bestFit="1" customWidth="1"/>
    <col min="6158" max="6158" width="9" style="428"/>
    <col min="6159" max="6159" width="13.125" style="428" customWidth="1"/>
    <col min="6160" max="6160" width="7" style="428" bestFit="1" customWidth="1"/>
    <col min="6161" max="6400" width="9" style="428"/>
    <col min="6401" max="6401" width="5.375" style="428" customWidth="1"/>
    <col min="6402" max="6402" width="1.125" style="428" customWidth="1"/>
    <col min="6403" max="6403" width="12" style="428" customWidth="1"/>
    <col min="6404" max="6404" width="3" style="428" customWidth="1"/>
    <col min="6405" max="6405" width="38.25" style="428" customWidth="1"/>
    <col min="6406" max="6406" width="7.5" style="428" customWidth="1"/>
    <col min="6407" max="6407" width="11" style="428" customWidth="1"/>
    <col min="6408" max="6408" width="15.375" style="428" customWidth="1"/>
    <col min="6409" max="6409" width="17.625" style="428" customWidth="1"/>
    <col min="6410" max="6410" width="9" style="428"/>
    <col min="6411" max="6411" width="2.375" style="428" customWidth="1"/>
    <col min="6412" max="6412" width="9" style="428"/>
    <col min="6413" max="6413" width="11.25" style="428" bestFit="1" customWidth="1"/>
    <col min="6414" max="6414" width="9" style="428"/>
    <col min="6415" max="6415" width="13.125" style="428" customWidth="1"/>
    <col min="6416" max="6416" width="7" style="428" bestFit="1" customWidth="1"/>
    <col min="6417" max="6656" width="9" style="428"/>
    <col min="6657" max="6657" width="5.375" style="428" customWidth="1"/>
    <col min="6658" max="6658" width="1.125" style="428" customWidth="1"/>
    <col min="6659" max="6659" width="12" style="428" customWidth="1"/>
    <col min="6660" max="6660" width="3" style="428" customWidth="1"/>
    <col min="6661" max="6661" width="38.25" style="428" customWidth="1"/>
    <col min="6662" max="6662" width="7.5" style="428" customWidth="1"/>
    <col min="6663" max="6663" width="11" style="428" customWidth="1"/>
    <col min="6664" max="6664" width="15.375" style="428" customWidth="1"/>
    <col min="6665" max="6665" width="17.625" style="428" customWidth="1"/>
    <col min="6666" max="6666" width="9" style="428"/>
    <col min="6667" max="6667" width="2.375" style="428" customWidth="1"/>
    <col min="6668" max="6668" width="9" style="428"/>
    <col min="6669" max="6669" width="11.25" style="428" bestFit="1" customWidth="1"/>
    <col min="6670" max="6670" width="9" style="428"/>
    <col min="6671" max="6671" width="13.125" style="428" customWidth="1"/>
    <col min="6672" max="6672" width="7" style="428" bestFit="1" customWidth="1"/>
    <col min="6673" max="6912" width="9" style="428"/>
    <col min="6913" max="6913" width="5.375" style="428" customWidth="1"/>
    <col min="6914" max="6914" width="1.125" style="428" customWidth="1"/>
    <col min="6915" max="6915" width="12" style="428" customWidth="1"/>
    <col min="6916" max="6916" width="3" style="428" customWidth="1"/>
    <col min="6917" max="6917" width="38.25" style="428" customWidth="1"/>
    <col min="6918" max="6918" width="7.5" style="428" customWidth="1"/>
    <col min="6919" max="6919" width="11" style="428" customWidth="1"/>
    <col min="6920" max="6920" width="15.375" style="428" customWidth="1"/>
    <col min="6921" max="6921" width="17.625" style="428" customWidth="1"/>
    <col min="6922" max="6922" width="9" style="428"/>
    <col min="6923" max="6923" width="2.375" style="428" customWidth="1"/>
    <col min="6924" max="6924" width="9" style="428"/>
    <col min="6925" max="6925" width="11.25" style="428" bestFit="1" customWidth="1"/>
    <col min="6926" max="6926" width="9" style="428"/>
    <col min="6927" max="6927" width="13.125" style="428" customWidth="1"/>
    <col min="6928" max="6928" width="7" style="428" bestFit="1" customWidth="1"/>
    <col min="6929" max="7168" width="9" style="428"/>
    <col min="7169" max="7169" width="5.375" style="428" customWidth="1"/>
    <col min="7170" max="7170" width="1.125" style="428" customWidth="1"/>
    <col min="7171" max="7171" width="12" style="428" customWidth="1"/>
    <col min="7172" max="7172" width="3" style="428" customWidth="1"/>
    <col min="7173" max="7173" width="38.25" style="428" customWidth="1"/>
    <col min="7174" max="7174" width="7.5" style="428" customWidth="1"/>
    <col min="7175" max="7175" width="11" style="428" customWidth="1"/>
    <col min="7176" max="7176" width="15.375" style="428" customWidth="1"/>
    <col min="7177" max="7177" width="17.625" style="428" customWidth="1"/>
    <col min="7178" max="7178" width="9" style="428"/>
    <col min="7179" max="7179" width="2.375" style="428" customWidth="1"/>
    <col min="7180" max="7180" width="9" style="428"/>
    <col min="7181" max="7181" width="11.25" style="428" bestFit="1" customWidth="1"/>
    <col min="7182" max="7182" width="9" style="428"/>
    <col min="7183" max="7183" width="13.125" style="428" customWidth="1"/>
    <col min="7184" max="7184" width="7" style="428" bestFit="1" customWidth="1"/>
    <col min="7185" max="7424" width="9" style="428"/>
    <col min="7425" max="7425" width="5.375" style="428" customWidth="1"/>
    <col min="7426" max="7426" width="1.125" style="428" customWidth="1"/>
    <col min="7427" max="7427" width="12" style="428" customWidth="1"/>
    <col min="7428" max="7428" width="3" style="428" customWidth="1"/>
    <col min="7429" max="7429" width="38.25" style="428" customWidth="1"/>
    <col min="7430" max="7430" width="7.5" style="428" customWidth="1"/>
    <col min="7431" max="7431" width="11" style="428" customWidth="1"/>
    <col min="7432" max="7432" width="15.375" style="428" customWidth="1"/>
    <col min="7433" max="7433" width="17.625" style="428" customWidth="1"/>
    <col min="7434" max="7434" width="9" style="428"/>
    <col min="7435" max="7435" width="2.375" style="428" customWidth="1"/>
    <col min="7436" max="7436" width="9" style="428"/>
    <col min="7437" max="7437" width="11.25" style="428" bestFit="1" customWidth="1"/>
    <col min="7438" max="7438" width="9" style="428"/>
    <col min="7439" max="7439" width="13.125" style="428" customWidth="1"/>
    <col min="7440" max="7440" width="7" style="428" bestFit="1" customWidth="1"/>
    <col min="7441" max="7680" width="9" style="428"/>
    <col min="7681" max="7681" width="5.375" style="428" customWidth="1"/>
    <col min="7682" max="7682" width="1.125" style="428" customWidth="1"/>
    <col min="7683" max="7683" width="12" style="428" customWidth="1"/>
    <col min="7684" max="7684" width="3" style="428" customWidth="1"/>
    <col min="7685" max="7685" width="38.25" style="428" customWidth="1"/>
    <col min="7686" max="7686" width="7.5" style="428" customWidth="1"/>
    <col min="7687" max="7687" width="11" style="428" customWidth="1"/>
    <col min="7688" max="7688" width="15.375" style="428" customWidth="1"/>
    <col min="7689" max="7689" width="17.625" style="428" customWidth="1"/>
    <col min="7690" max="7690" width="9" style="428"/>
    <col min="7691" max="7691" width="2.375" style="428" customWidth="1"/>
    <col min="7692" max="7692" width="9" style="428"/>
    <col min="7693" max="7693" width="11.25" style="428" bestFit="1" customWidth="1"/>
    <col min="7694" max="7694" width="9" style="428"/>
    <col min="7695" max="7695" width="13.125" style="428" customWidth="1"/>
    <col min="7696" max="7696" width="7" style="428" bestFit="1" customWidth="1"/>
    <col min="7697" max="7936" width="9" style="428"/>
    <col min="7937" max="7937" width="5.375" style="428" customWidth="1"/>
    <col min="7938" max="7938" width="1.125" style="428" customWidth="1"/>
    <col min="7939" max="7939" width="12" style="428" customWidth="1"/>
    <col min="7940" max="7940" width="3" style="428" customWidth="1"/>
    <col min="7941" max="7941" width="38.25" style="428" customWidth="1"/>
    <col min="7942" max="7942" width="7.5" style="428" customWidth="1"/>
    <col min="7943" max="7943" width="11" style="428" customWidth="1"/>
    <col min="7944" max="7944" width="15.375" style="428" customWidth="1"/>
    <col min="7945" max="7945" width="17.625" style="428" customWidth="1"/>
    <col min="7946" max="7946" width="9" style="428"/>
    <col min="7947" max="7947" width="2.375" style="428" customWidth="1"/>
    <col min="7948" max="7948" width="9" style="428"/>
    <col min="7949" max="7949" width="11.25" style="428" bestFit="1" customWidth="1"/>
    <col min="7950" max="7950" width="9" style="428"/>
    <col min="7951" max="7951" width="13.125" style="428" customWidth="1"/>
    <col min="7952" max="7952" width="7" style="428" bestFit="1" customWidth="1"/>
    <col min="7953" max="8192" width="9" style="428"/>
    <col min="8193" max="8193" width="5.375" style="428" customWidth="1"/>
    <col min="8194" max="8194" width="1.125" style="428" customWidth="1"/>
    <col min="8195" max="8195" width="12" style="428" customWidth="1"/>
    <col min="8196" max="8196" width="3" style="428" customWidth="1"/>
    <col min="8197" max="8197" width="38.25" style="428" customWidth="1"/>
    <col min="8198" max="8198" width="7.5" style="428" customWidth="1"/>
    <col min="8199" max="8199" width="11" style="428" customWidth="1"/>
    <col min="8200" max="8200" width="15.375" style="428" customWidth="1"/>
    <col min="8201" max="8201" width="17.625" style="428" customWidth="1"/>
    <col min="8202" max="8202" width="9" style="428"/>
    <col min="8203" max="8203" width="2.375" style="428" customWidth="1"/>
    <col min="8204" max="8204" width="9" style="428"/>
    <col min="8205" max="8205" width="11.25" style="428" bestFit="1" customWidth="1"/>
    <col min="8206" max="8206" width="9" style="428"/>
    <col min="8207" max="8207" width="13.125" style="428" customWidth="1"/>
    <col min="8208" max="8208" width="7" style="428" bestFit="1" customWidth="1"/>
    <col min="8209" max="8448" width="9" style="428"/>
    <col min="8449" max="8449" width="5.375" style="428" customWidth="1"/>
    <col min="8450" max="8450" width="1.125" style="428" customWidth="1"/>
    <col min="8451" max="8451" width="12" style="428" customWidth="1"/>
    <col min="8452" max="8452" width="3" style="428" customWidth="1"/>
    <col min="8453" max="8453" width="38.25" style="428" customWidth="1"/>
    <col min="8454" max="8454" width="7.5" style="428" customWidth="1"/>
    <col min="8455" max="8455" width="11" style="428" customWidth="1"/>
    <col min="8456" max="8456" width="15.375" style="428" customWidth="1"/>
    <col min="8457" max="8457" width="17.625" style="428" customWidth="1"/>
    <col min="8458" max="8458" width="9" style="428"/>
    <col min="8459" max="8459" width="2.375" style="428" customWidth="1"/>
    <col min="8460" max="8460" width="9" style="428"/>
    <col min="8461" max="8461" width="11.25" style="428" bestFit="1" customWidth="1"/>
    <col min="8462" max="8462" width="9" style="428"/>
    <col min="8463" max="8463" width="13.125" style="428" customWidth="1"/>
    <col min="8464" max="8464" width="7" style="428" bestFit="1" customWidth="1"/>
    <col min="8465" max="8704" width="9" style="428"/>
    <col min="8705" max="8705" width="5.375" style="428" customWidth="1"/>
    <col min="8706" max="8706" width="1.125" style="428" customWidth="1"/>
    <col min="8707" max="8707" width="12" style="428" customWidth="1"/>
    <col min="8708" max="8708" width="3" style="428" customWidth="1"/>
    <col min="8709" max="8709" width="38.25" style="428" customWidth="1"/>
    <col min="8710" max="8710" width="7.5" style="428" customWidth="1"/>
    <col min="8711" max="8711" width="11" style="428" customWidth="1"/>
    <col min="8712" max="8712" width="15.375" style="428" customWidth="1"/>
    <col min="8713" max="8713" width="17.625" style="428" customWidth="1"/>
    <col min="8714" max="8714" width="9" style="428"/>
    <col min="8715" max="8715" width="2.375" style="428" customWidth="1"/>
    <col min="8716" max="8716" width="9" style="428"/>
    <col min="8717" max="8717" width="11.25" style="428" bestFit="1" customWidth="1"/>
    <col min="8718" max="8718" width="9" style="428"/>
    <col min="8719" max="8719" width="13.125" style="428" customWidth="1"/>
    <col min="8720" max="8720" width="7" style="428" bestFit="1" customWidth="1"/>
    <col min="8721" max="8960" width="9" style="428"/>
    <col min="8961" max="8961" width="5.375" style="428" customWidth="1"/>
    <col min="8962" max="8962" width="1.125" style="428" customWidth="1"/>
    <col min="8963" max="8963" width="12" style="428" customWidth="1"/>
    <col min="8964" max="8964" width="3" style="428" customWidth="1"/>
    <col min="8965" max="8965" width="38.25" style="428" customWidth="1"/>
    <col min="8966" max="8966" width="7.5" style="428" customWidth="1"/>
    <col min="8967" max="8967" width="11" style="428" customWidth="1"/>
    <col min="8968" max="8968" width="15.375" style="428" customWidth="1"/>
    <col min="8969" max="8969" width="17.625" style="428" customWidth="1"/>
    <col min="8970" max="8970" width="9" style="428"/>
    <col min="8971" max="8971" width="2.375" style="428" customWidth="1"/>
    <col min="8972" max="8972" width="9" style="428"/>
    <col min="8973" max="8973" width="11.25" style="428" bestFit="1" customWidth="1"/>
    <col min="8974" max="8974" width="9" style="428"/>
    <col min="8975" max="8975" width="13.125" style="428" customWidth="1"/>
    <col min="8976" max="8976" width="7" style="428" bestFit="1" customWidth="1"/>
    <col min="8977" max="9216" width="9" style="428"/>
    <col min="9217" max="9217" width="5.375" style="428" customWidth="1"/>
    <col min="9218" max="9218" width="1.125" style="428" customWidth="1"/>
    <col min="9219" max="9219" width="12" style="428" customWidth="1"/>
    <col min="9220" max="9220" width="3" style="428" customWidth="1"/>
    <col min="9221" max="9221" width="38.25" style="428" customWidth="1"/>
    <col min="9222" max="9222" width="7.5" style="428" customWidth="1"/>
    <col min="9223" max="9223" width="11" style="428" customWidth="1"/>
    <col min="9224" max="9224" width="15.375" style="428" customWidth="1"/>
    <col min="9225" max="9225" width="17.625" style="428" customWidth="1"/>
    <col min="9226" max="9226" width="9" style="428"/>
    <col min="9227" max="9227" width="2.375" style="428" customWidth="1"/>
    <col min="9228" max="9228" width="9" style="428"/>
    <col min="9229" max="9229" width="11.25" style="428" bestFit="1" customWidth="1"/>
    <col min="9230" max="9230" width="9" style="428"/>
    <col min="9231" max="9231" width="13.125" style="428" customWidth="1"/>
    <col min="9232" max="9232" width="7" style="428" bestFit="1" customWidth="1"/>
    <col min="9233" max="9472" width="9" style="428"/>
    <col min="9473" max="9473" width="5.375" style="428" customWidth="1"/>
    <col min="9474" max="9474" width="1.125" style="428" customWidth="1"/>
    <col min="9475" max="9475" width="12" style="428" customWidth="1"/>
    <col min="9476" max="9476" width="3" style="428" customWidth="1"/>
    <col min="9477" max="9477" width="38.25" style="428" customWidth="1"/>
    <col min="9478" max="9478" width="7.5" style="428" customWidth="1"/>
    <col min="9479" max="9479" width="11" style="428" customWidth="1"/>
    <col min="9480" max="9480" width="15.375" style="428" customWidth="1"/>
    <col min="9481" max="9481" width="17.625" style="428" customWidth="1"/>
    <col min="9482" max="9482" width="9" style="428"/>
    <col min="9483" max="9483" width="2.375" style="428" customWidth="1"/>
    <col min="9484" max="9484" width="9" style="428"/>
    <col min="9485" max="9485" width="11.25" style="428" bestFit="1" customWidth="1"/>
    <col min="9486" max="9486" width="9" style="428"/>
    <col min="9487" max="9487" width="13.125" style="428" customWidth="1"/>
    <col min="9488" max="9488" width="7" style="428" bestFit="1" customWidth="1"/>
    <col min="9489" max="9728" width="9" style="428"/>
    <col min="9729" max="9729" width="5.375" style="428" customWidth="1"/>
    <col min="9730" max="9730" width="1.125" style="428" customWidth="1"/>
    <col min="9731" max="9731" width="12" style="428" customWidth="1"/>
    <col min="9732" max="9732" width="3" style="428" customWidth="1"/>
    <col min="9733" max="9733" width="38.25" style="428" customWidth="1"/>
    <col min="9734" max="9734" width="7.5" style="428" customWidth="1"/>
    <col min="9735" max="9735" width="11" style="428" customWidth="1"/>
    <col min="9736" max="9736" width="15.375" style="428" customWidth="1"/>
    <col min="9737" max="9737" width="17.625" style="428" customWidth="1"/>
    <col min="9738" max="9738" width="9" style="428"/>
    <col min="9739" max="9739" width="2.375" style="428" customWidth="1"/>
    <col min="9740" max="9740" width="9" style="428"/>
    <col min="9741" max="9741" width="11.25" style="428" bestFit="1" customWidth="1"/>
    <col min="9742" max="9742" width="9" style="428"/>
    <col min="9743" max="9743" width="13.125" style="428" customWidth="1"/>
    <col min="9744" max="9744" width="7" style="428" bestFit="1" customWidth="1"/>
    <col min="9745" max="9984" width="9" style="428"/>
    <col min="9985" max="9985" width="5.375" style="428" customWidth="1"/>
    <col min="9986" max="9986" width="1.125" style="428" customWidth="1"/>
    <col min="9987" max="9987" width="12" style="428" customWidth="1"/>
    <col min="9988" max="9988" width="3" style="428" customWidth="1"/>
    <col min="9989" max="9989" width="38.25" style="428" customWidth="1"/>
    <col min="9990" max="9990" width="7.5" style="428" customWidth="1"/>
    <col min="9991" max="9991" width="11" style="428" customWidth="1"/>
    <col min="9992" max="9992" width="15.375" style="428" customWidth="1"/>
    <col min="9993" max="9993" width="17.625" style="428" customWidth="1"/>
    <col min="9994" max="9994" width="9" style="428"/>
    <col min="9995" max="9995" width="2.375" style="428" customWidth="1"/>
    <col min="9996" max="9996" width="9" style="428"/>
    <col min="9997" max="9997" width="11.25" style="428" bestFit="1" customWidth="1"/>
    <col min="9998" max="9998" width="9" style="428"/>
    <col min="9999" max="9999" width="13.125" style="428" customWidth="1"/>
    <col min="10000" max="10000" width="7" style="428" bestFit="1" customWidth="1"/>
    <col min="10001" max="10240" width="9" style="428"/>
    <col min="10241" max="10241" width="5.375" style="428" customWidth="1"/>
    <col min="10242" max="10242" width="1.125" style="428" customWidth="1"/>
    <col min="10243" max="10243" width="12" style="428" customWidth="1"/>
    <col min="10244" max="10244" width="3" style="428" customWidth="1"/>
    <col min="10245" max="10245" width="38.25" style="428" customWidth="1"/>
    <col min="10246" max="10246" width="7.5" style="428" customWidth="1"/>
    <col min="10247" max="10247" width="11" style="428" customWidth="1"/>
    <col min="10248" max="10248" width="15.375" style="428" customWidth="1"/>
    <col min="10249" max="10249" width="17.625" style="428" customWidth="1"/>
    <col min="10250" max="10250" width="9" style="428"/>
    <col min="10251" max="10251" width="2.375" style="428" customWidth="1"/>
    <col min="10252" max="10252" width="9" style="428"/>
    <col min="10253" max="10253" width="11.25" style="428" bestFit="1" customWidth="1"/>
    <col min="10254" max="10254" width="9" style="428"/>
    <col min="10255" max="10255" width="13.125" style="428" customWidth="1"/>
    <col min="10256" max="10256" width="7" style="428" bestFit="1" customWidth="1"/>
    <col min="10257" max="10496" width="9" style="428"/>
    <col min="10497" max="10497" width="5.375" style="428" customWidth="1"/>
    <col min="10498" max="10498" width="1.125" style="428" customWidth="1"/>
    <col min="10499" max="10499" width="12" style="428" customWidth="1"/>
    <col min="10500" max="10500" width="3" style="428" customWidth="1"/>
    <col min="10501" max="10501" width="38.25" style="428" customWidth="1"/>
    <col min="10502" max="10502" width="7.5" style="428" customWidth="1"/>
    <col min="10503" max="10503" width="11" style="428" customWidth="1"/>
    <col min="10504" max="10504" width="15.375" style="428" customWidth="1"/>
    <col min="10505" max="10505" width="17.625" style="428" customWidth="1"/>
    <col min="10506" max="10506" width="9" style="428"/>
    <col min="10507" max="10507" width="2.375" style="428" customWidth="1"/>
    <col min="10508" max="10508" width="9" style="428"/>
    <col min="10509" max="10509" width="11.25" style="428" bestFit="1" customWidth="1"/>
    <col min="10510" max="10510" width="9" style="428"/>
    <col min="10511" max="10511" width="13.125" style="428" customWidth="1"/>
    <col min="10512" max="10512" width="7" style="428" bestFit="1" customWidth="1"/>
    <col min="10513" max="10752" width="9" style="428"/>
    <col min="10753" max="10753" width="5.375" style="428" customWidth="1"/>
    <col min="10754" max="10754" width="1.125" style="428" customWidth="1"/>
    <col min="10755" max="10755" width="12" style="428" customWidth="1"/>
    <col min="10756" max="10756" width="3" style="428" customWidth="1"/>
    <col min="10757" max="10757" width="38.25" style="428" customWidth="1"/>
    <col min="10758" max="10758" width="7.5" style="428" customWidth="1"/>
    <col min="10759" max="10759" width="11" style="428" customWidth="1"/>
    <col min="10760" max="10760" width="15.375" style="428" customWidth="1"/>
    <col min="10761" max="10761" width="17.625" style="428" customWidth="1"/>
    <col min="10762" max="10762" width="9" style="428"/>
    <col min="10763" max="10763" width="2.375" style="428" customWidth="1"/>
    <col min="10764" max="10764" width="9" style="428"/>
    <col min="10765" max="10765" width="11.25" style="428" bestFit="1" customWidth="1"/>
    <col min="10766" max="10766" width="9" style="428"/>
    <col min="10767" max="10767" width="13.125" style="428" customWidth="1"/>
    <col min="10768" max="10768" width="7" style="428" bestFit="1" customWidth="1"/>
    <col min="10769" max="11008" width="9" style="428"/>
    <col min="11009" max="11009" width="5.375" style="428" customWidth="1"/>
    <col min="11010" max="11010" width="1.125" style="428" customWidth="1"/>
    <col min="11011" max="11011" width="12" style="428" customWidth="1"/>
    <col min="11012" max="11012" width="3" style="428" customWidth="1"/>
    <col min="11013" max="11013" width="38.25" style="428" customWidth="1"/>
    <col min="11014" max="11014" width="7.5" style="428" customWidth="1"/>
    <col min="11015" max="11015" width="11" style="428" customWidth="1"/>
    <col min="11016" max="11016" width="15.375" style="428" customWidth="1"/>
    <col min="11017" max="11017" width="17.625" style="428" customWidth="1"/>
    <col min="11018" max="11018" width="9" style="428"/>
    <col min="11019" max="11019" width="2.375" style="428" customWidth="1"/>
    <col min="11020" max="11020" width="9" style="428"/>
    <col min="11021" max="11021" width="11.25" style="428" bestFit="1" customWidth="1"/>
    <col min="11022" max="11022" width="9" style="428"/>
    <col min="11023" max="11023" width="13.125" style="428" customWidth="1"/>
    <col min="11024" max="11024" width="7" style="428" bestFit="1" customWidth="1"/>
    <col min="11025" max="11264" width="9" style="428"/>
    <col min="11265" max="11265" width="5.375" style="428" customWidth="1"/>
    <col min="11266" max="11266" width="1.125" style="428" customWidth="1"/>
    <col min="11267" max="11267" width="12" style="428" customWidth="1"/>
    <col min="11268" max="11268" width="3" style="428" customWidth="1"/>
    <col min="11269" max="11269" width="38.25" style="428" customWidth="1"/>
    <col min="11270" max="11270" width="7.5" style="428" customWidth="1"/>
    <col min="11271" max="11271" width="11" style="428" customWidth="1"/>
    <col min="11272" max="11272" width="15.375" style="428" customWidth="1"/>
    <col min="11273" max="11273" width="17.625" style="428" customWidth="1"/>
    <col min="11274" max="11274" width="9" style="428"/>
    <col min="11275" max="11275" width="2.375" style="428" customWidth="1"/>
    <col min="11276" max="11276" width="9" style="428"/>
    <col min="11277" max="11277" width="11.25" style="428" bestFit="1" customWidth="1"/>
    <col min="11278" max="11278" width="9" style="428"/>
    <col min="11279" max="11279" width="13.125" style="428" customWidth="1"/>
    <col min="11280" max="11280" width="7" style="428" bestFit="1" customWidth="1"/>
    <col min="11281" max="11520" width="9" style="428"/>
    <col min="11521" max="11521" width="5.375" style="428" customWidth="1"/>
    <col min="11522" max="11522" width="1.125" style="428" customWidth="1"/>
    <col min="11523" max="11523" width="12" style="428" customWidth="1"/>
    <col min="11524" max="11524" width="3" style="428" customWidth="1"/>
    <col min="11525" max="11525" width="38.25" style="428" customWidth="1"/>
    <col min="11526" max="11526" width="7.5" style="428" customWidth="1"/>
    <col min="11527" max="11527" width="11" style="428" customWidth="1"/>
    <col min="11528" max="11528" width="15.375" style="428" customWidth="1"/>
    <col min="11529" max="11529" width="17.625" style="428" customWidth="1"/>
    <col min="11530" max="11530" width="9" style="428"/>
    <col min="11531" max="11531" width="2.375" style="428" customWidth="1"/>
    <col min="11532" max="11532" width="9" style="428"/>
    <col min="11533" max="11533" width="11.25" style="428" bestFit="1" customWidth="1"/>
    <col min="11534" max="11534" width="9" style="428"/>
    <col min="11535" max="11535" width="13.125" style="428" customWidth="1"/>
    <col min="11536" max="11536" width="7" style="428" bestFit="1" customWidth="1"/>
    <col min="11537" max="11776" width="9" style="428"/>
    <col min="11777" max="11777" width="5.375" style="428" customWidth="1"/>
    <col min="11778" max="11778" width="1.125" style="428" customWidth="1"/>
    <col min="11779" max="11779" width="12" style="428" customWidth="1"/>
    <col min="11780" max="11780" width="3" style="428" customWidth="1"/>
    <col min="11781" max="11781" width="38.25" style="428" customWidth="1"/>
    <col min="11782" max="11782" width="7.5" style="428" customWidth="1"/>
    <col min="11783" max="11783" width="11" style="428" customWidth="1"/>
    <col min="11784" max="11784" width="15.375" style="428" customWidth="1"/>
    <col min="11785" max="11785" width="17.625" style="428" customWidth="1"/>
    <col min="11786" max="11786" width="9" style="428"/>
    <col min="11787" max="11787" width="2.375" style="428" customWidth="1"/>
    <col min="11788" max="11788" width="9" style="428"/>
    <col min="11789" max="11789" width="11.25" style="428" bestFit="1" customWidth="1"/>
    <col min="11790" max="11790" width="9" style="428"/>
    <col min="11791" max="11791" width="13.125" style="428" customWidth="1"/>
    <col min="11792" max="11792" width="7" style="428" bestFit="1" customWidth="1"/>
    <col min="11793" max="12032" width="9" style="428"/>
    <col min="12033" max="12033" width="5.375" style="428" customWidth="1"/>
    <col min="12034" max="12034" width="1.125" style="428" customWidth="1"/>
    <col min="12035" max="12035" width="12" style="428" customWidth="1"/>
    <col min="12036" max="12036" width="3" style="428" customWidth="1"/>
    <col min="12037" max="12037" width="38.25" style="428" customWidth="1"/>
    <col min="12038" max="12038" width="7.5" style="428" customWidth="1"/>
    <col min="12039" max="12039" width="11" style="428" customWidth="1"/>
    <col min="12040" max="12040" width="15.375" style="428" customWidth="1"/>
    <col min="12041" max="12041" width="17.625" style="428" customWidth="1"/>
    <col min="12042" max="12042" width="9" style="428"/>
    <col min="12043" max="12043" width="2.375" style="428" customWidth="1"/>
    <col min="12044" max="12044" width="9" style="428"/>
    <col min="12045" max="12045" width="11.25" style="428" bestFit="1" customWidth="1"/>
    <col min="12046" max="12046" width="9" style="428"/>
    <col min="12047" max="12047" width="13.125" style="428" customWidth="1"/>
    <col min="12048" max="12048" width="7" style="428" bestFit="1" customWidth="1"/>
    <col min="12049" max="12288" width="9" style="428"/>
    <col min="12289" max="12289" width="5.375" style="428" customWidth="1"/>
    <col min="12290" max="12290" width="1.125" style="428" customWidth="1"/>
    <col min="12291" max="12291" width="12" style="428" customWidth="1"/>
    <col min="12292" max="12292" width="3" style="428" customWidth="1"/>
    <col min="12293" max="12293" width="38.25" style="428" customWidth="1"/>
    <col min="12294" max="12294" width="7.5" style="428" customWidth="1"/>
    <col min="12295" max="12295" width="11" style="428" customWidth="1"/>
    <col min="12296" max="12296" width="15.375" style="428" customWidth="1"/>
    <col min="12297" max="12297" width="17.625" style="428" customWidth="1"/>
    <col min="12298" max="12298" width="9" style="428"/>
    <col min="12299" max="12299" width="2.375" style="428" customWidth="1"/>
    <col min="12300" max="12300" width="9" style="428"/>
    <col min="12301" max="12301" width="11.25" style="428" bestFit="1" customWidth="1"/>
    <col min="12302" max="12302" width="9" style="428"/>
    <col min="12303" max="12303" width="13.125" style="428" customWidth="1"/>
    <col min="12304" max="12304" width="7" style="428" bestFit="1" customWidth="1"/>
    <col min="12305" max="12544" width="9" style="428"/>
    <col min="12545" max="12545" width="5.375" style="428" customWidth="1"/>
    <col min="12546" max="12546" width="1.125" style="428" customWidth="1"/>
    <col min="12547" max="12547" width="12" style="428" customWidth="1"/>
    <col min="12548" max="12548" width="3" style="428" customWidth="1"/>
    <col min="12549" max="12549" width="38.25" style="428" customWidth="1"/>
    <col min="12550" max="12550" width="7.5" style="428" customWidth="1"/>
    <col min="12551" max="12551" width="11" style="428" customWidth="1"/>
    <col min="12552" max="12552" width="15.375" style="428" customWidth="1"/>
    <col min="12553" max="12553" width="17.625" style="428" customWidth="1"/>
    <col min="12554" max="12554" width="9" style="428"/>
    <col min="12555" max="12555" width="2.375" style="428" customWidth="1"/>
    <col min="12556" max="12556" width="9" style="428"/>
    <col min="12557" max="12557" width="11.25" style="428" bestFit="1" customWidth="1"/>
    <col min="12558" max="12558" width="9" style="428"/>
    <col min="12559" max="12559" width="13.125" style="428" customWidth="1"/>
    <col min="12560" max="12560" width="7" style="428" bestFit="1" customWidth="1"/>
    <col min="12561" max="12800" width="9" style="428"/>
    <col min="12801" max="12801" width="5.375" style="428" customWidth="1"/>
    <col min="12802" max="12802" width="1.125" style="428" customWidth="1"/>
    <col min="12803" max="12803" width="12" style="428" customWidth="1"/>
    <col min="12804" max="12804" width="3" style="428" customWidth="1"/>
    <col min="12805" max="12805" width="38.25" style="428" customWidth="1"/>
    <col min="12806" max="12806" width="7.5" style="428" customWidth="1"/>
    <col min="12807" max="12807" width="11" style="428" customWidth="1"/>
    <col min="12808" max="12808" width="15.375" style="428" customWidth="1"/>
    <col min="12809" max="12809" width="17.625" style="428" customWidth="1"/>
    <col min="12810" max="12810" width="9" style="428"/>
    <col min="12811" max="12811" width="2.375" style="428" customWidth="1"/>
    <col min="12812" max="12812" width="9" style="428"/>
    <col min="12813" max="12813" width="11.25" style="428" bestFit="1" customWidth="1"/>
    <col min="12814" max="12814" width="9" style="428"/>
    <col min="12815" max="12815" width="13.125" style="428" customWidth="1"/>
    <col min="12816" max="12816" width="7" style="428" bestFit="1" customWidth="1"/>
    <col min="12817" max="13056" width="9" style="428"/>
    <col min="13057" max="13057" width="5.375" style="428" customWidth="1"/>
    <col min="13058" max="13058" width="1.125" style="428" customWidth="1"/>
    <col min="13059" max="13059" width="12" style="428" customWidth="1"/>
    <col min="13060" max="13060" width="3" style="428" customWidth="1"/>
    <col min="13061" max="13061" width="38.25" style="428" customWidth="1"/>
    <col min="13062" max="13062" width="7.5" style="428" customWidth="1"/>
    <col min="13063" max="13063" width="11" style="428" customWidth="1"/>
    <col min="13064" max="13064" width="15.375" style="428" customWidth="1"/>
    <col min="13065" max="13065" width="17.625" style="428" customWidth="1"/>
    <col min="13066" max="13066" width="9" style="428"/>
    <col min="13067" max="13067" width="2.375" style="428" customWidth="1"/>
    <col min="13068" max="13068" width="9" style="428"/>
    <col min="13069" max="13069" width="11.25" style="428" bestFit="1" customWidth="1"/>
    <col min="13070" max="13070" width="9" style="428"/>
    <col min="13071" max="13071" width="13.125" style="428" customWidth="1"/>
    <col min="13072" max="13072" width="7" style="428" bestFit="1" customWidth="1"/>
    <col min="13073" max="13312" width="9" style="428"/>
    <col min="13313" max="13313" width="5.375" style="428" customWidth="1"/>
    <col min="13314" max="13314" width="1.125" style="428" customWidth="1"/>
    <col min="13315" max="13315" width="12" style="428" customWidth="1"/>
    <col min="13316" max="13316" width="3" style="428" customWidth="1"/>
    <col min="13317" max="13317" width="38.25" style="428" customWidth="1"/>
    <col min="13318" max="13318" width="7.5" style="428" customWidth="1"/>
    <col min="13319" max="13319" width="11" style="428" customWidth="1"/>
    <col min="13320" max="13320" width="15.375" style="428" customWidth="1"/>
    <col min="13321" max="13321" width="17.625" style="428" customWidth="1"/>
    <col min="13322" max="13322" width="9" style="428"/>
    <col min="13323" max="13323" width="2.375" style="428" customWidth="1"/>
    <col min="13324" max="13324" width="9" style="428"/>
    <col min="13325" max="13325" width="11.25" style="428" bestFit="1" customWidth="1"/>
    <col min="13326" max="13326" width="9" style="428"/>
    <col min="13327" max="13327" width="13.125" style="428" customWidth="1"/>
    <col min="13328" max="13328" width="7" style="428" bestFit="1" customWidth="1"/>
    <col min="13329" max="13568" width="9" style="428"/>
    <col min="13569" max="13569" width="5.375" style="428" customWidth="1"/>
    <col min="13570" max="13570" width="1.125" style="428" customWidth="1"/>
    <col min="13571" max="13571" width="12" style="428" customWidth="1"/>
    <col min="13572" max="13572" width="3" style="428" customWidth="1"/>
    <col min="13573" max="13573" width="38.25" style="428" customWidth="1"/>
    <col min="13574" max="13574" width="7.5" style="428" customWidth="1"/>
    <col min="13575" max="13575" width="11" style="428" customWidth="1"/>
    <col min="13576" max="13576" width="15.375" style="428" customWidth="1"/>
    <col min="13577" max="13577" width="17.625" style="428" customWidth="1"/>
    <col min="13578" max="13578" width="9" style="428"/>
    <col min="13579" max="13579" width="2.375" style="428" customWidth="1"/>
    <col min="13580" max="13580" width="9" style="428"/>
    <col min="13581" max="13581" width="11.25" style="428" bestFit="1" customWidth="1"/>
    <col min="13582" max="13582" width="9" style="428"/>
    <col min="13583" max="13583" width="13.125" style="428" customWidth="1"/>
    <col min="13584" max="13584" width="7" style="428" bestFit="1" customWidth="1"/>
    <col min="13585" max="13824" width="9" style="428"/>
    <col min="13825" max="13825" width="5.375" style="428" customWidth="1"/>
    <col min="13826" max="13826" width="1.125" style="428" customWidth="1"/>
    <col min="13827" max="13827" width="12" style="428" customWidth="1"/>
    <col min="13828" max="13828" width="3" style="428" customWidth="1"/>
    <col min="13829" max="13829" width="38.25" style="428" customWidth="1"/>
    <col min="13830" max="13830" width="7.5" style="428" customWidth="1"/>
    <col min="13831" max="13831" width="11" style="428" customWidth="1"/>
    <col min="13832" max="13832" width="15.375" style="428" customWidth="1"/>
    <col min="13833" max="13833" width="17.625" style="428" customWidth="1"/>
    <col min="13834" max="13834" width="9" style="428"/>
    <col min="13835" max="13835" width="2.375" style="428" customWidth="1"/>
    <col min="13836" max="13836" width="9" style="428"/>
    <col min="13837" max="13837" width="11.25" style="428" bestFit="1" customWidth="1"/>
    <col min="13838" max="13838" width="9" style="428"/>
    <col min="13839" max="13839" width="13.125" style="428" customWidth="1"/>
    <col min="13840" max="13840" width="7" style="428" bestFit="1" customWidth="1"/>
    <col min="13841" max="14080" width="9" style="428"/>
    <col min="14081" max="14081" width="5.375" style="428" customWidth="1"/>
    <col min="14082" max="14082" width="1.125" style="428" customWidth="1"/>
    <col min="14083" max="14083" width="12" style="428" customWidth="1"/>
    <col min="14084" max="14084" width="3" style="428" customWidth="1"/>
    <col min="14085" max="14085" width="38.25" style="428" customWidth="1"/>
    <col min="14086" max="14086" width="7.5" style="428" customWidth="1"/>
    <col min="14087" max="14087" width="11" style="428" customWidth="1"/>
    <col min="14088" max="14088" width="15.375" style="428" customWidth="1"/>
    <col min="14089" max="14089" width="17.625" style="428" customWidth="1"/>
    <col min="14090" max="14090" width="9" style="428"/>
    <col min="14091" max="14091" width="2.375" style="428" customWidth="1"/>
    <col min="14092" max="14092" width="9" style="428"/>
    <col min="14093" max="14093" width="11.25" style="428" bestFit="1" customWidth="1"/>
    <col min="14094" max="14094" width="9" style="428"/>
    <col min="14095" max="14095" width="13.125" style="428" customWidth="1"/>
    <col min="14096" max="14096" width="7" style="428" bestFit="1" customWidth="1"/>
    <col min="14097" max="14336" width="9" style="428"/>
    <col min="14337" max="14337" width="5.375" style="428" customWidth="1"/>
    <col min="14338" max="14338" width="1.125" style="428" customWidth="1"/>
    <col min="14339" max="14339" width="12" style="428" customWidth="1"/>
    <col min="14340" max="14340" width="3" style="428" customWidth="1"/>
    <col min="14341" max="14341" width="38.25" style="428" customWidth="1"/>
    <col min="14342" max="14342" width="7.5" style="428" customWidth="1"/>
    <col min="14343" max="14343" width="11" style="428" customWidth="1"/>
    <col min="14344" max="14344" width="15.375" style="428" customWidth="1"/>
    <col min="14345" max="14345" width="17.625" style="428" customWidth="1"/>
    <col min="14346" max="14346" width="9" style="428"/>
    <col min="14347" max="14347" width="2.375" style="428" customWidth="1"/>
    <col min="14348" max="14348" width="9" style="428"/>
    <col min="14349" max="14349" width="11.25" style="428" bestFit="1" customWidth="1"/>
    <col min="14350" max="14350" width="9" style="428"/>
    <col min="14351" max="14351" width="13.125" style="428" customWidth="1"/>
    <col min="14352" max="14352" width="7" style="428" bestFit="1" customWidth="1"/>
    <col min="14353" max="14592" width="9" style="428"/>
    <col min="14593" max="14593" width="5.375" style="428" customWidth="1"/>
    <col min="14594" max="14594" width="1.125" style="428" customWidth="1"/>
    <col min="14595" max="14595" width="12" style="428" customWidth="1"/>
    <col min="14596" max="14596" width="3" style="428" customWidth="1"/>
    <col min="14597" max="14597" width="38.25" style="428" customWidth="1"/>
    <col min="14598" max="14598" width="7.5" style="428" customWidth="1"/>
    <col min="14599" max="14599" width="11" style="428" customWidth="1"/>
    <col min="14600" max="14600" width="15.375" style="428" customWidth="1"/>
    <col min="14601" max="14601" width="17.625" style="428" customWidth="1"/>
    <col min="14602" max="14602" width="9" style="428"/>
    <col min="14603" max="14603" width="2.375" style="428" customWidth="1"/>
    <col min="14604" max="14604" width="9" style="428"/>
    <col min="14605" max="14605" width="11.25" style="428" bestFit="1" customWidth="1"/>
    <col min="14606" max="14606" width="9" style="428"/>
    <col min="14607" max="14607" width="13.125" style="428" customWidth="1"/>
    <col min="14608" max="14608" width="7" style="428" bestFit="1" customWidth="1"/>
    <col min="14609" max="14848" width="9" style="428"/>
    <col min="14849" max="14849" width="5.375" style="428" customWidth="1"/>
    <col min="14850" max="14850" width="1.125" style="428" customWidth="1"/>
    <col min="14851" max="14851" width="12" style="428" customWidth="1"/>
    <col min="14852" max="14852" width="3" style="428" customWidth="1"/>
    <col min="14853" max="14853" width="38.25" style="428" customWidth="1"/>
    <col min="14854" max="14854" width="7.5" style="428" customWidth="1"/>
    <col min="14855" max="14855" width="11" style="428" customWidth="1"/>
    <col min="14856" max="14856" width="15.375" style="428" customWidth="1"/>
    <col min="14857" max="14857" width="17.625" style="428" customWidth="1"/>
    <col min="14858" max="14858" width="9" style="428"/>
    <col min="14859" max="14859" width="2.375" style="428" customWidth="1"/>
    <col min="14860" max="14860" width="9" style="428"/>
    <col min="14861" max="14861" width="11.25" style="428" bestFit="1" customWidth="1"/>
    <col min="14862" max="14862" width="9" style="428"/>
    <col min="14863" max="14863" width="13.125" style="428" customWidth="1"/>
    <col min="14864" max="14864" width="7" style="428" bestFit="1" customWidth="1"/>
    <col min="14865" max="15104" width="9" style="428"/>
    <col min="15105" max="15105" width="5.375" style="428" customWidth="1"/>
    <col min="15106" max="15106" width="1.125" style="428" customWidth="1"/>
    <col min="15107" max="15107" width="12" style="428" customWidth="1"/>
    <col min="15108" max="15108" width="3" style="428" customWidth="1"/>
    <col min="15109" max="15109" width="38.25" style="428" customWidth="1"/>
    <col min="15110" max="15110" width="7.5" style="428" customWidth="1"/>
    <col min="15111" max="15111" width="11" style="428" customWidth="1"/>
    <col min="15112" max="15112" width="15.375" style="428" customWidth="1"/>
    <col min="15113" max="15113" width="17.625" style="428" customWidth="1"/>
    <col min="15114" max="15114" width="9" style="428"/>
    <col min="15115" max="15115" width="2.375" style="428" customWidth="1"/>
    <col min="15116" max="15116" width="9" style="428"/>
    <col min="15117" max="15117" width="11.25" style="428" bestFit="1" customWidth="1"/>
    <col min="15118" max="15118" width="9" style="428"/>
    <col min="15119" max="15119" width="13.125" style="428" customWidth="1"/>
    <col min="15120" max="15120" width="7" style="428" bestFit="1" customWidth="1"/>
    <col min="15121" max="15360" width="9" style="428"/>
    <col min="15361" max="15361" width="5.375" style="428" customWidth="1"/>
    <col min="15362" max="15362" width="1.125" style="428" customWidth="1"/>
    <col min="15363" max="15363" width="12" style="428" customWidth="1"/>
    <col min="15364" max="15364" width="3" style="428" customWidth="1"/>
    <col min="15365" max="15365" width="38.25" style="428" customWidth="1"/>
    <col min="15366" max="15366" width="7.5" style="428" customWidth="1"/>
    <col min="15367" max="15367" width="11" style="428" customWidth="1"/>
    <col min="15368" max="15368" width="15.375" style="428" customWidth="1"/>
    <col min="15369" max="15369" width="17.625" style="428" customWidth="1"/>
    <col min="15370" max="15370" width="9" style="428"/>
    <col min="15371" max="15371" width="2.375" style="428" customWidth="1"/>
    <col min="15372" max="15372" width="9" style="428"/>
    <col min="15373" max="15373" width="11.25" style="428" bestFit="1" customWidth="1"/>
    <col min="15374" max="15374" width="9" style="428"/>
    <col min="15375" max="15375" width="13.125" style="428" customWidth="1"/>
    <col min="15376" max="15376" width="7" style="428" bestFit="1" customWidth="1"/>
    <col min="15377" max="15616" width="9" style="428"/>
    <col min="15617" max="15617" width="5.375" style="428" customWidth="1"/>
    <col min="15618" max="15618" width="1.125" style="428" customWidth="1"/>
    <col min="15619" max="15619" width="12" style="428" customWidth="1"/>
    <col min="15620" max="15620" width="3" style="428" customWidth="1"/>
    <col min="15621" max="15621" width="38.25" style="428" customWidth="1"/>
    <col min="15622" max="15622" width="7.5" style="428" customWidth="1"/>
    <col min="15623" max="15623" width="11" style="428" customWidth="1"/>
    <col min="15624" max="15624" width="15.375" style="428" customWidth="1"/>
    <col min="15625" max="15625" width="17.625" style="428" customWidth="1"/>
    <col min="15626" max="15626" width="9" style="428"/>
    <col min="15627" max="15627" width="2.375" style="428" customWidth="1"/>
    <col min="15628" max="15628" width="9" style="428"/>
    <col min="15629" max="15629" width="11.25" style="428" bestFit="1" customWidth="1"/>
    <col min="15630" max="15630" width="9" style="428"/>
    <col min="15631" max="15631" width="13.125" style="428" customWidth="1"/>
    <col min="15632" max="15632" width="7" style="428" bestFit="1" customWidth="1"/>
    <col min="15633" max="15872" width="9" style="428"/>
    <col min="15873" max="15873" width="5.375" style="428" customWidth="1"/>
    <col min="15874" max="15874" width="1.125" style="428" customWidth="1"/>
    <col min="15875" max="15875" width="12" style="428" customWidth="1"/>
    <col min="15876" max="15876" width="3" style="428" customWidth="1"/>
    <col min="15877" max="15877" width="38.25" style="428" customWidth="1"/>
    <col min="15878" max="15878" width="7.5" style="428" customWidth="1"/>
    <col min="15879" max="15879" width="11" style="428" customWidth="1"/>
    <col min="15880" max="15880" width="15.375" style="428" customWidth="1"/>
    <col min="15881" max="15881" width="17.625" style="428" customWidth="1"/>
    <col min="15882" max="15882" width="9" style="428"/>
    <col min="15883" max="15883" width="2.375" style="428" customWidth="1"/>
    <col min="15884" max="15884" width="9" style="428"/>
    <col min="15885" max="15885" width="11.25" style="428" bestFit="1" customWidth="1"/>
    <col min="15886" max="15886" width="9" style="428"/>
    <col min="15887" max="15887" width="13.125" style="428" customWidth="1"/>
    <col min="15888" max="15888" width="7" style="428" bestFit="1" customWidth="1"/>
    <col min="15889" max="16128" width="9" style="428"/>
    <col min="16129" max="16129" width="5.375" style="428" customWidth="1"/>
    <col min="16130" max="16130" width="1.125" style="428" customWidth="1"/>
    <col min="16131" max="16131" width="12" style="428" customWidth="1"/>
    <col min="16132" max="16132" width="3" style="428" customWidth="1"/>
    <col min="16133" max="16133" width="38.25" style="428" customWidth="1"/>
    <col min="16134" max="16134" width="7.5" style="428" customWidth="1"/>
    <col min="16135" max="16135" width="11" style="428" customWidth="1"/>
    <col min="16136" max="16136" width="15.375" style="428" customWidth="1"/>
    <col min="16137" max="16137" width="17.625" style="428" customWidth="1"/>
    <col min="16138" max="16138" width="9" style="428"/>
    <col min="16139" max="16139" width="2.375" style="428" customWidth="1"/>
    <col min="16140" max="16140" width="9" style="428"/>
    <col min="16141" max="16141" width="11.25" style="428" bestFit="1" customWidth="1"/>
    <col min="16142" max="16142" width="9" style="428"/>
    <col min="16143" max="16143" width="13.125" style="428" customWidth="1"/>
    <col min="16144" max="16144" width="7" style="428" bestFit="1" customWidth="1"/>
    <col min="16145" max="16384" width="9" style="428"/>
  </cols>
  <sheetData>
    <row r="1" spans="1:17" ht="25.5">
      <c r="A1" s="427" t="s">
        <v>295</v>
      </c>
      <c r="G1" s="429"/>
      <c r="H1" s="429"/>
      <c r="I1" s="429"/>
    </row>
    <row r="2" spans="1:17">
      <c r="G2" s="429"/>
      <c r="H2" s="429"/>
      <c r="I2" s="429"/>
    </row>
    <row r="3" spans="1:17" ht="14.25">
      <c r="A3" s="430" t="str">
        <f>+[43]REK.RAP!A4</f>
        <v>KEGIATAN</v>
      </c>
      <c r="B3" s="430"/>
      <c r="C3" s="430"/>
      <c r="D3" s="431" t="s">
        <v>285</v>
      </c>
      <c r="E3" s="430" t="str">
        <f>+[43]REK.RAP!E4</f>
        <v>Pembangunan Jalan Provinsi dan Strategis di Wilayah Kab. Pasaman dan Kab. Pasaman Barat</v>
      </c>
      <c r="G3" s="429"/>
      <c r="H3" s="429"/>
      <c r="I3" s="429"/>
    </row>
    <row r="4" spans="1:17" ht="14.25">
      <c r="A4" s="430" t="str">
        <f>+[43]REK.RAP!A5</f>
        <v>PAKET</v>
      </c>
      <c r="B4" s="430"/>
      <c r="C4" s="430"/>
      <c r="D4" s="431" t="s">
        <v>285</v>
      </c>
      <c r="E4" s="430" t="str">
        <f>+[43]REK.RAP!E5</f>
        <v>Pembangunan Jalan Lubuk Sikaping - Talu (SP.157)</v>
      </c>
      <c r="G4" s="429"/>
      <c r="H4" s="429"/>
      <c r="I4" s="429"/>
    </row>
    <row r="5" spans="1:17" ht="14.25">
      <c r="A5" s="430" t="str">
        <f>[43]REK.RAP!A6</f>
        <v>Prop</v>
      </c>
      <c r="B5" s="430"/>
      <c r="C5" s="430"/>
      <c r="D5" s="431" t="s">
        <v>285</v>
      </c>
      <c r="E5" s="430" t="str">
        <f>+[43]REK.RAP!E6</f>
        <v xml:space="preserve">Sumatera Barat </v>
      </c>
      <c r="G5" s="429"/>
      <c r="H5" s="429"/>
      <c r="I5" s="429"/>
    </row>
    <row r="6" spans="1:17">
      <c r="A6" s="432"/>
      <c r="D6" s="433"/>
      <c r="E6" s="432"/>
      <c r="G6" s="429"/>
      <c r="H6" s="429"/>
      <c r="I6" s="429"/>
    </row>
    <row r="7" spans="1:17" ht="13.5" thickBot="1">
      <c r="G7" s="429"/>
      <c r="H7" s="429"/>
      <c r="I7" s="429"/>
    </row>
    <row r="8" spans="1:17">
      <c r="A8" s="434"/>
      <c r="B8" s="435"/>
      <c r="C8" s="435"/>
      <c r="D8" s="435"/>
      <c r="E8" s="436"/>
      <c r="F8" s="437"/>
      <c r="G8" s="438"/>
      <c r="H8" s="439" t="s">
        <v>286</v>
      </c>
      <c r="I8" s="440" t="s">
        <v>144</v>
      </c>
    </row>
    <row r="9" spans="1:17">
      <c r="A9" s="441" t="s">
        <v>259</v>
      </c>
      <c r="B9" s="442"/>
      <c r="C9" s="443" t="s">
        <v>287</v>
      </c>
      <c r="D9" s="443"/>
      <c r="E9" s="444"/>
      <c r="F9" s="445" t="s">
        <v>288</v>
      </c>
      <c r="G9" s="446" t="s">
        <v>289</v>
      </c>
      <c r="H9" s="446" t="s">
        <v>288</v>
      </c>
      <c r="I9" s="447" t="s">
        <v>286</v>
      </c>
    </row>
    <row r="10" spans="1:17" ht="13.5" thickBot="1">
      <c r="A10" s="448"/>
      <c r="B10" s="449"/>
      <c r="C10" s="449"/>
      <c r="D10" s="449"/>
      <c r="E10" s="450"/>
      <c r="F10" s="451"/>
      <c r="G10" s="452"/>
      <c r="H10" s="452"/>
      <c r="I10" s="453"/>
    </row>
    <row r="11" spans="1:17" ht="18" customHeight="1" thickTop="1">
      <c r="A11" s="454"/>
      <c r="B11" s="455"/>
      <c r="C11" s="455"/>
      <c r="D11" s="455"/>
      <c r="E11" s="456"/>
      <c r="F11" s="457"/>
      <c r="G11" s="458"/>
      <c r="H11" s="458"/>
      <c r="I11" s="459"/>
      <c r="K11" s="460"/>
      <c r="L11" s="461"/>
      <c r="M11" s="461"/>
      <c r="N11" s="461"/>
      <c r="O11" s="461"/>
      <c r="P11" s="462"/>
      <c r="Q11" s="463"/>
    </row>
    <row r="12" spans="1:17" ht="18" customHeight="1">
      <c r="A12" s="464">
        <v>1</v>
      </c>
      <c r="B12" s="465"/>
      <c r="C12" s="465" t="s">
        <v>290</v>
      </c>
      <c r="D12" s="465"/>
      <c r="E12" s="466"/>
      <c r="F12" s="467" t="s">
        <v>15</v>
      </c>
      <c r="G12" s="468">
        <f>Budget!D65</f>
        <v>489.78</v>
      </c>
      <c r="H12" s="468">
        <f>Budget!F65</f>
        <v>475000</v>
      </c>
      <c r="I12" s="469">
        <f t="shared" ref="I12:I17" si="0">+H12*G12</f>
        <v>232645500</v>
      </c>
      <c r="K12" s="461"/>
      <c r="L12" s="461"/>
      <c r="M12" s="461"/>
      <c r="N12" s="461"/>
      <c r="O12" s="461"/>
      <c r="P12" s="470"/>
      <c r="Q12" s="461"/>
    </row>
    <row r="13" spans="1:17" ht="18" customHeight="1">
      <c r="A13" s="464">
        <v>2</v>
      </c>
      <c r="B13" s="471"/>
      <c r="C13" s="465" t="s">
        <v>291</v>
      </c>
      <c r="D13" s="465"/>
      <c r="E13" s="466"/>
      <c r="F13" s="467" t="s">
        <v>15</v>
      </c>
      <c r="G13" s="472">
        <f>Budget!D218</f>
        <v>1196.8487227567839</v>
      </c>
      <c r="H13" s="472">
        <f>Budget!F218</f>
        <v>450000</v>
      </c>
      <c r="I13" s="469">
        <f t="shared" si="0"/>
        <v>538581925.24055278</v>
      </c>
      <c r="K13" s="461"/>
      <c r="L13" s="461"/>
      <c r="M13" s="461"/>
      <c r="N13" s="461"/>
      <c r="O13" s="461"/>
      <c r="P13" s="470"/>
      <c r="Q13" s="461"/>
    </row>
    <row r="14" spans="1:17" ht="18" customHeight="1">
      <c r="A14" s="464">
        <v>3</v>
      </c>
      <c r="B14" s="471"/>
      <c r="C14" s="471" t="s">
        <v>292</v>
      </c>
      <c r="D14" s="471"/>
      <c r="E14" s="473"/>
      <c r="F14" s="467" t="s">
        <v>15</v>
      </c>
      <c r="G14" s="472">
        <f>Budget!D208</f>
        <v>450</v>
      </c>
      <c r="H14" s="472">
        <f>Budget!F208</f>
        <v>1250000</v>
      </c>
      <c r="I14" s="469">
        <f t="shared" si="0"/>
        <v>562500000</v>
      </c>
      <c r="K14" s="461"/>
      <c r="L14" s="461"/>
      <c r="M14" s="461"/>
      <c r="N14" s="461"/>
      <c r="O14" s="461"/>
      <c r="P14" s="470"/>
      <c r="Q14" s="461"/>
    </row>
    <row r="15" spans="1:17" ht="18" customHeight="1">
      <c r="A15" s="464">
        <v>3</v>
      </c>
      <c r="B15" s="471"/>
      <c r="C15" s="471" t="s">
        <v>137</v>
      </c>
      <c r="D15" s="471"/>
      <c r="E15" s="473"/>
      <c r="F15" s="467" t="s">
        <v>127</v>
      </c>
      <c r="G15" s="472">
        <f>Budget!D213</f>
        <v>1</v>
      </c>
      <c r="H15" s="472">
        <f>Budget!F213</f>
        <v>9000</v>
      </c>
      <c r="I15" s="469">
        <f t="shared" si="0"/>
        <v>9000</v>
      </c>
      <c r="K15" s="461"/>
      <c r="L15" s="461"/>
      <c r="M15" s="461"/>
      <c r="N15" s="461"/>
      <c r="O15" s="461"/>
      <c r="P15" s="470"/>
      <c r="Q15" s="461"/>
    </row>
    <row r="16" spans="1:17" ht="18" customHeight="1">
      <c r="A16" s="464">
        <v>4</v>
      </c>
      <c r="B16" s="471"/>
      <c r="C16" s="465" t="s">
        <v>293</v>
      </c>
      <c r="D16" s="465"/>
      <c r="E16" s="466"/>
      <c r="F16" s="467" t="s">
        <v>15</v>
      </c>
      <c r="G16" s="472">
        <f>Budget!D223</f>
        <v>50</v>
      </c>
      <c r="H16" s="472">
        <f>Budget!F223</f>
        <v>450000</v>
      </c>
      <c r="I16" s="469">
        <f t="shared" si="0"/>
        <v>22500000</v>
      </c>
      <c r="K16" s="461"/>
      <c r="L16" s="461"/>
      <c r="M16" s="461" t="s">
        <v>210</v>
      </c>
      <c r="N16" s="461"/>
      <c r="O16" s="461"/>
      <c r="P16" s="470"/>
      <c r="Q16" s="461"/>
    </row>
    <row r="17" spans="1:17" ht="18" customHeight="1">
      <c r="A17" s="464">
        <v>5</v>
      </c>
      <c r="B17" s="471"/>
      <c r="C17" s="465" t="s">
        <v>154</v>
      </c>
      <c r="D17" s="465"/>
      <c r="E17" s="466"/>
      <c r="F17" s="467" t="s">
        <v>294</v>
      </c>
      <c r="G17" s="472">
        <f>Budget!D70</f>
        <v>20</v>
      </c>
      <c r="H17" s="472">
        <v>350000</v>
      </c>
      <c r="I17" s="469">
        <f t="shared" si="0"/>
        <v>7000000</v>
      </c>
      <c r="K17" s="461"/>
      <c r="L17" s="461"/>
      <c r="M17" s="461"/>
      <c r="N17" s="461"/>
      <c r="O17" s="461"/>
      <c r="P17" s="470"/>
      <c r="Q17" s="461"/>
    </row>
    <row r="18" spans="1:17" ht="18" customHeight="1">
      <c r="A18" s="464"/>
      <c r="B18" s="471"/>
      <c r="C18" s="471"/>
      <c r="D18" s="471"/>
      <c r="E18" s="473"/>
      <c r="F18" s="467"/>
      <c r="G18" s="472"/>
      <c r="H18" s="472"/>
      <c r="I18" s="469"/>
      <c r="K18" s="461"/>
      <c r="L18" s="461"/>
      <c r="M18" s="461"/>
      <c r="N18" s="461"/>
      <c r="O18" s="461"/>
      <c r="P18" s="470"/>
      <c r="Q18" s="461"/>
    </row>
    <row r="19" spans="1:17" ht="18" customHeight="1">
      <c r="A19" s="464"/>
      <c r="B19" s="471"/>
      <c r="C19" s="474"/>
      <c r="D19" s="471"/>
      <c r="E19" s="473"/>
      <c r="F19" s="467"/>
      <c r="G19" s="472"/>
      <c r="H19" s="472"/>
      <c r="I19" s="469"/>
      <c r="K19" s="461"/>
      <c r="L19" s="461"/>
      <c r="M19" s="461"/>
      <c r="N19" s="461"/>
      <c r="O19" s="461"/>
      <c r="P19" s="470"/>
      <c r="Q19" s="461"/>
    </row>
    <row r="20" spans="1:17" ht="18" customHeight="1">
      <c r="A20" s="475"/>
      <c r="B20" s="471"/>
      <c r="C20" s="474"/>
      <c r="D20" s="471"/>
      <c r="E20" s="473"/>
      <c r="F20" s="467"/>
      <c r="G20" s="472"/>
      <c r="H20" s="472"/>
      <c r="I20" s="469"/>
      <c r="K20" s="461"/>
      <c r="L20" s="461"/>
      <c r="M20" s="461"/>
      <c r="N20" s="461"/>
      <c r="O20" s="461"/>
      <c r="P20" s="461"/>
      <c r="Q20" s="461"/>
    </row>
    <row r="21" spans="1:17" ht="18" customHeight="1">
      <c r="A21" s="475"/>
      <c r="B21" s="471"/>
      <c r="C21" s="474"/>
      <c r="D21" s="471"/>
      <c r="E21" s="473"/>
      <c r="F21" s="467"/>
      <c r="G21" s="472"/>
      <c r="H21" s="472"/>
      <c r="I21" s="469"/>
      <c r="K21" s="461"/>
      <c r="L21" s="461"/>
      <c r="M21" s="461"/>
      <c r="N21" s="461"/>
      <c r="O21" s="461"/>
      <c r="P21" s="461"/>
      <c r="Q21" s="461"/>
    </row>
    <row r="22" spans="1:17" ht="18" customHeight="1">
      <c r="A22" s="475"/>
      <c r="B22" s="471"/>
      <c r="C22" s="471"/>
      <c r="D22" s="471"/>
      <c r="E22" s="473"/>
      <c r="F22" s="467"/>
      <c r="G22" s="472"/>
      <c r="H22" s="472"/>
      <c r="I22" s="469"/>
    </row>
    <row r="23" spans="1:17" ht="18" customHeight="1">
      <c r="A23" s="475"/>
      <c r="B23" s="471"/>
      <c r="C23" s="471"/>
      <c r="D23" s="471"/>
      <c r="E23" s="473"/>
      <c r="F23" s="467"/>
      <c r="G23" s="472"/>
      <c r="H23" s="472"/>
      <c r="I23" s="476"/>
    </row>
    <row r="24" spans="1:17" ht="18" customHeight="1">
      <c r="A24" s="475"/>
      <c r="B24" s="471"/>
      <c r="C24" s="471"/>
      <c r="D24" s="471"/>
      <c r="E24" s="473"/>
      <c r="F24" s="467"/>
      <c r="G24" s="472"/>
      <c r="H24" s="472"/>
      <c r="I24" s="476"/>
      <c r="M24" s="477"/>
    </row>
    <row r="25" spans="1:17" ht="18" customHeight="1">
      <c r="A25" s="475"/>
      <c r="B25" s="471"/>
      <c r="C25" s="471"/>
      <c r="D25" s="471"/>
      <c r="E25" s="473"/>
      <c r="F25" s="467"/>
      <c r="G25" s="472"/>
      <c r="H25" s="472"/>
      <c r="I25" s="476"/>
    </row>
    <row r="26" spans="1:17" ht="18" customHeight="1">
      <c r="A26" s="475"/>
      <c r="B26" s="471"/>
      <c r="C26" s="471"/>
      <c r="D26" s="471"/>
      <c r="E26" s="473"/>
      <c r="F26" s="467"/>
      <c r="G26" s="472"/>
      <c r="H26" s="472"/>
      <c r="I26" s="476"/>
    </row>
    <row r="27" spans="1:17" ht="18" customHeight="1">
      <c r="A27" s="475"/>
      <c r="B27" s="471"/>
      <c r="C27" s="471"/>
      <c r="D27" s="471"/>
      <c r="E27" s="473"/>
      <c r="F27" s="467"/>
      <c r="G27" s="472"/>
      <c r="H27" s="472"/>
      <c r="I27" s="476"/>
    </row>
    <row r="28" spans="1:17" ht="18" customHeight="1">
      <c r="A28" s="478"/>
      <c r="B28" s="471"/>
      <c r="C28" s="471"/>
      <c r="D28" s="471"/>
      <c r="E28" s="473"/>
      <c r="F28" s="467"/>
      <c r="G28" s="472"/>
      <c r="H28" s="472"/>
      <c r="I28" s="476"/>
    </row>
    <row r="29" spans="1:17" ht="18" customHeight="1" thickBot="1">
      <c r="A29" s="479"/>
      <c r="B29" s="480"/>
      <c r="C29" s="480"/>
      <c r="D29" s="480"/>
      <c r="E29" s="481"/>
      <c r="F29" s="482"/>
      <c r="G29" s="483"/>
      <c r="H29" s="483"/>
      <c r="I29" s="484"/>
    </row>
    <row r="30" spans="1:17" ht="15" thickTop="1">
      <c r="A30" s="485"/>
      <c r="B30" s="486"/>
      <c r="C30" s="486"/>
      <c r="D30" s="486"/>
      <c r="E30" s="487"/>
      <c r="F30" s="488"/>
      <c r="G30" s="489"/>
      <c r="H30" s="489"/>
      <c r="I30" s="490"/>
    </row>
    <row r="31" spans="1:17" ht="20.25" customHeight="1">
      <c r="A31" s="491"/>
      <c r="B31" s="492"/>
      <c r="C31" s="493" t="s">
        <v>144</v>
      </c>
      <c r="D31" s="494"/>
      <c r="E31" s="495"/>
      <c r="F31" s="496"/>
      <c r="G31" s="497"/>
      <c r="H31" s="497"/>
      <c r="I31" s="498">
        <f>SUM(I11:I29)</f>
        <v>1363236425.2405529</v>
      </c>
    </row>
    <row r="32" spans="1:17" ht="15" thickBot="1">
      <c r="A32" s="499"/>
      <c r="B32" s="500"/>
      <c r="C32" s="500"/>
      <c r="D32" s="500"/>
      <c r="E32" s="501"/>
      <c r="F32" s="502"/>
      <c r="G32" s="503"/>
      <c r="H32" s="503"/>
      <c r="I32" s="504"/>
    </row>
  </sheetData>
  <pageMargins left="0.7" right="0.7" top="0.75" bottom="0.75" header="0.3" footer="0.3"/>
  <pageSetup paperSize="9" scale="72" orientation="portrait" horizontalDpi="4294967293" verticalDpi="4294967293" r:id="rId1"/>
  <colBreaks count="1" manualBreakCount="1">
    <brk id="9" max="1048575" man="1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01"/>
  <sheetViews>
    <sheetView tabSelected="1" topLeftCell="F1" workbookViewId="0">
      <selection activeCell="R43" sqref="R43"/>
    </sheetView>
  </sheetViews>
  <sheetFormatPr defaultRowHeight="15.75"/>
  <cols>
    <col min="1" max="1" width="7.25" style="36" customWidth="1"/>
    <col min="2" max="2" width="16.75" customWidth="1"/>
    <col min="3" max="3" width="17.875" customWidth="1"/>
    <col min="4" max="4" width="25.5" customWidth="1"/>
    <col min="5" max="5" width="18.5" customWidth="1"/>
    <col min="7" max="7" width="19.875" customWidth="1"/>
    <col min="8" max="8" width="7.375" customWidth="1"/>
    <col min="9" max="10" width="13" customWidth="1"/>
    <col min="13" max="13" width="10" customWidth="1"/>
  </cols>
  <sheetData>
    <row r="1" spans="1:14">
      <c r="A1" s="510" t="s">
        <v>298</v>
      </c>
    </row>
    <row r="2" spans="1:14">
      <c r="G2" t="s">
        <v>468</v>
      </c>
    </row>
    <row r="3" spans="1:14">
      <c r="A3" s="513" t="s">
        <v>4</v>
      </c>
      <c r="B3" s="513" t="s">
        <v>7</v>
      </c>
      <c r="C3" s="513" t="s">
        <v>300</v>
      </c>
      <c r="D3" s="513" t="s">
        <v>6</v>
      </c>
      <c r="G3" s="569"/>
      <c r="H3" s="570" t="s">
        <v>83</v>
      </c>
      <c r="I3" s="570" t="s">
        <v>334</v>
      </c>
      <c r="J3" s="570" t="s">
        <v>352</v>
      </c>
      <c r="K3" s="570" t="s">
        <v>335</v>
      </c>
      <c r="L3" s="569"/>
      <c r="M3" s="570" t="s">
        <v>223</v>
      </c>
      <c r="N3" s="570" t="s">
        <v>15</v>
      </c>
    </row>
    <row r="4" spans="1:14">
      <c r="A4" s="36">
        <v>1</v>
      </c>
      <c r="B4" s="36" t="s">
        <v>299</v>
      </c>
      <c r="C4" s="512">
        <f>100000/21</f>
        <v>4761.9047619047615</v>
      </c>
      <c r="D4" s="512" t="s">
        <v>305</v>
      </c>
      <c r="G4" s="565" t="s">
        <v>333</v>
      </c>
      <c r="H4" s="36">
        <v>7</v>
      </c>
      <c r="I4" s="36">
        <v>3</v>
      </c>
      <c r="J4" s="36">
        <v>33</v>
      </c>
      <c r="K4" s="36">
        <f>J4*1*H4*I4</f>
        <v>693</v>
      </c>
      <c r="L4" s="36">
        <v>9000</v>
      </c>
      <c r="M4" s="571">
        <f>L4*K4</f>
        <v>6237000</v>
      </c>
      <c r="N4" s="36">
        <f>H4*I4*7</f>
        <v>147</v>
      </c>
    </row>
    <row r="5" spans="1:14">
      <c r="A5" s="36">
        <v>5</v>
      </c>
      <c r="B5" s="512" t="s">
        <v>304</v>
      </c>
      <c r="C5" s="512">
        <f>99*8500/21</f>
        <v>40071.428571428572</v>
      </c>
      <c r="G5" s="568" t="s">
        <v>354</v>
      </c>
      <c r="H5" s="36">
        <v>2</v>
      </c>
      <c r="I5" s="36">
        <v>1</v>
      </c>
      <c r="J5" s="36">
        <v>53</v>
      </c>
      <c r="K5" s="36">
        <f>J5*1*H5*I5</f>
        <v>106</v>
      </c>
      <c r="L5" s="36">
        <v>9000</v>
      </c>
      <c r="M5" s="571">
        <f>L5*K5</f>
        <v>954000</v>
      </c>
      <c r="N5" s="36">
        <f>H5*I5*10</f>
        <v>20</v>
      </c>
    </row>
    <row r="6" spans="1:14">
      <c r="A6" s="36">
        <v>3</v>
      </c>
      <c r="B6" s="512" t="s">
        <v>302</v>
      </c>
      <c r="C6" s="512">
        <v>50000</v>
      </c>
      <c r="G6" s="568" t="s">
        <v>355</v>
      </c>
      <c r="H6" s="36">
        <v>2</v>
      </c>
      <c r="I6" s="36">
        <v>2</v>
      </c>
      <c r="J6" s="36">
        <v>33</v>
      </c>
      <c r="K6" s="36">
        <f>J6*1*H6*I6</f>
        <v>132</v>
      </c>
      <c r="L6" s="36">
        <f>L5</f>
        <v>9000</v>
      </c>
      <c r="M6" s="571">
        <f>L6*K6</f>
        <v>1188000</v>
      </c>
      <c r="N6" s="36">
        <f>H6*I6*10</f>
        <v>40</v>
      </c>
    </row>
    <row r="7" spans="1:14">
      <c r="A7" s="36">
        <v>2</v>
      </c>
      <c r="B7" s="512" t="s">
        <v>301</v>
      </c>
      <c r="C7" s="512"/>
    </row>
    <row r="8" spans="1:14">
      <c r="A8" s="36">
        <v>3</v>
      </c>
      <c r="B8" s="512" t="s">
        <v>303</v>
      </c>
      <c r="C8" s="512"/>
    </row>
    <row r="9" spans="1:14">
      <c r="B9" s="512"/>
      <c r="C9" s="512"/>
    </row>
    <row r="10" spans="1:14">
      <c r="B10" s="512"/>
      <c r="C10" s="512"/>
      <c r="E10">
        <f>32*9</f>
        <v>288</v>
      </c>
    </row>
    <row r="11" spans="1:14">
      <c r="B11" s="512"/>
      <c r="C11" s="512"/>
      <c r="E11">
        <f>E10*3</f>
        <v>864</v>
      </c>
      <c r="G11" s="6" t="s">
        <v>356</v>
      </c>
    </row>
    <row r="12" spans="1:14">
      <c r="B12" s="512"/>
      <c r="C12" s="512"/>
      <c r="E12" s="514"/>
      <c r="G12" s="173"/>
    </row>
    <row r="13" spans="1:14">
      <c r="B13" s="512" t="s">
        <v>129</v>
      </c>
      <c r="C13" s="512">
        <f>SUM(C4:C12)</f>
        <v>94833.333333333343</v>
      </c>
      <c r="G13" t="s">
        <v>469</v>
      </c>
    </row>
    <row r="14" spans="1:14">
      <c r="B14" s="512" t="s">
        <v>306</v>
      </c>
      <c r="C14" s="515">
        <f>C13/7</f>
        <v>13547.61904761905</v>
      </c>
      <c r="G14" s="569"/>
      <c r="H14" s="570" t="s">
        <v>83</v>
      </c>
      <c r="I14" s="570" t="s">
        <v>334</v>
      </c>
      <c r="J14" s="570" t="s">
        <v>352</v>
      </c>
      <c r="K14" s="570" t="s">
        <v>335</v>
      </c>
      <c r="L14" s="569"/>
      <c r="M14" s="570" t="s">
        <v>223</v>
      </c>
      <c r="N14" s="570" t="s">
        <v>15</v>
      </c>
    </row>
    <row r="15" spans="1:14">
      <c r="B15" s="512"/>
      <c r="G15" s="600" t="s">
        <v>333</v>
      </c>
      <c r="H15" s="36">
        <v>7</v>
      </c>
      <c r="I15" s="36">
        <v>3</v>
      </c>
      <c r="J15" s="36">
        <v>25</v>
      </c>
      <c r="K15" s="36">
        <f>J15*1*H15*I15</f>
        <v>525</v>
      </c>
      <c r="L15" s="36">
        <v>9000</v>
      </c>
      <c r="M15" s="571">
        <f>L15*K15</f>
        <v>4725000</v>
      </c>
      <c r="N15" s="36">
        <f>H15*I15*7</f>
        <v>147</v>
      </c>
    </row>
    <row r="16" spans="1:14">
      <c r="B16" s="512"/>
      <c r="G16" s="600" t="s">
        <v>470</v>
      </c>
      <c r="H16" s="36">
        <v>2</v>
      </c>
      <c r="I16" s="36">
        <v>3</v>
      </c>
      <c r="J16" s="36">
        <v>30</v>
      </c>
      <c r="K16" s="36">
        <f>J16*1*H16*I16</f>
        <v>180</v>
      </c>
      <c r="L16" s="36">
        <v>9000</v>
      </c>
      <c r="M16" s="571">
        <f>L16*K16</f>
        <v>1620000</v>
      </c>
      <c r="N16" s="36">
        <f>H16*I16*10</f>
        <v>60</v>
      </c>
    </row>
    <row r="17" spans="1:11">
      <c r="B17" s="512"/>
    </row>
    <row r="18" spans="1:11">
      <c r="B18" s="512"/>
      <c r="K18">
        <f>SUM(K15:K17)/3</f>
        <v>235</v>
      </c>
    </row>
    <row r="19" spans="1:11">
      <c r="B19" s="512"/>
    </row>
    <row r="20" spans="1:11">
      <c r="A20" s="510" t="s">
        <v>298</v>
      </c>
    </row>
    <row r="22" spans="1:11">
      <c r="A22" s="513" t="s">
        <v>4</v>
      </c>
      <c r="B22" s="513" t="s">
        <v>7</v>
      </c>
      <c r="C22" s="513" t="s">
        <v>300</v>
      </c>
      <c r="D22" s="513" t="s">
        <v>6</v>
      </c>
    </row>
    <row r="23" spans="1:11">
      <c r="A23" s="36">
        <v>1</v>
      </c>
      <c r="B23" s="529" t="s">
        <v>299</v>
      </c>
      <c r="C23" s="512">
        <f>100000/24</f>
        <v>4166.666666666667</v>
      </c>
      <c r="D23" s="512" t="s">
        <v>305</v>
      </c>
    </row>
    <row r="24" spans="1:11">
      <c r="A24" s="36">
        <v>5</v>
      </c>
      <c r="B24" s="530" t="s">
        <v>304</v>
      </c>
      <c r="C24" s="512">
        <f>99*8500/24</f>
        <v>35062.5</v>
      </c>
      <c r="D24" s="173" t="s">
        <v>337</v>
      </c>
    </row>
    <row r="25" spans="1:11">
      <c r="A25" s="36">
        <v>3</v>
      </c>
      <c r="B25" s="530" t="s">
        <v>302</v>
      </c>
      <c r="C25" s="512">
        <v>45000</v>
      </c>
    </row>
    <row r="26" spans="1:11">
      <c r="A26" s="36">
        <v>2</v>
      </c>
      <c r="B26" s="531" t="s">
        <v>330</v>
      </c>
      <c r="C26" s="512">
        <f>1000000/3</f>
        <v>333333.33333333331</v>
      </c>
    </row>
    <row r="27" spans="1:11">
      <c r="A27" s="36">
        <v>3</v>
      </c>
      <c r="B27" s="530" t="s">
        <v>303</v>
      </c>
      <c r="C27" s="512">
        <f>25*8500</f>
        <v>212500</v>
      </c>
    </row>
    <row r="28" spans="1:11">
      <c r="A28" s="36">
        <v>4</v>
      </c>
      <c r="B28" s="531" t="s">
        <v>318</v>
      </c>
      <c r="C28" s="512">
        <f>115000/3</f>
        <v>38333.333333333336</v>
      </c>
    </row>
    <row r="29" spans="1:11">
      <c r="A29" s="36">
        <v>5</v>
      </c>
      <c r="B29" s="178" t="s">
        <v>336</v>
      </c>
      <c r="C29" s="512">
        <f>1600000/24</f>
        <v>66666.666666666672</v>
      </c>
    </row>
    <row r="30" spans="1:11">
      <c r="A30" s="36">
        <v>5</v>
      </c>
      <c r="B30" s="528" t="s">
        <v>320</v>
      </c>
      <c r="C30" s="512">
        <f>150000/24</f>
        <v>6250</v>
      </c>
      <c r="G30" s="515">
        <f>C33+C78</f>
        <v>187333.03571428571</v>
      </c>
    </row>
    <row r="31" spans="1:11">
      <c r="B31" s="512"/>
      <c r="C31" s="512"/>
      <c r="E31" s="514"/>
      <c r="G31" s="515">
        <f>G30/2</f>
        <v>93666.517857142855</v>
      </c>
      <c r="H31" s="173" t="s">
        <v>341</v>
      </c>
    </row>
    <row r="32" spans="1:11">
      <c r="B32" s="512" t="s">
        <v>129</v>
      </c>
      <c r="C32" s="512">
        <f>SUM(C23:C31)</f>
        <v>741312.5</v>
      </c>
    </row>
    <row r="33" spans="1:9">
      <c r="B33" s="512" t="s">
        <v>306</v>
      </c>
      <c r="C33" s="515">
        <f>C32/7</f>
        <v>105901.78571428571</v>
      </c>
      <c r="G33" s="33"/>
    </row>
    <row r="34" spans="1:9">
      <c r="B34" s="512"/>
      <c r="G34" s="515">
        <f>C27/7</f>
        <v>30357.142857142859</v>
      </c>
      <c r="H34" s="173" t="s">
        <v>332</v>
      </c>
    </row>
    <row r="35" spans="1:9">
      <c r="A35" s="532" t="s">
        <v>323</v>
      </c>
      <c r="G35" s="547">
        <f>C33-G34</f>
        <v>75544.642857142855</v>
      </c>
      <c r="H35" s="173" t="s">
        <v>343</v>
      </c>
    </row>
    <row r="37" spans="1:9">
      <c r="A37" s="513" t="s">
        <v>4</v>
      </c>
      <c r="B37" s="513" t="s">
        <v>7</v>
      </c>
      <c r="C37" s="513" t="s">
        <v>300</v>
      </c>
      <c r="D37" s="513" t="s">
        <v>6</v>
      </c>
      <c r="G37" s="515">
        <f>C72/10</f>
        <v>28050</v>
      </c>
      <c r="H37" s="173" t="s">
        <v>342</v>
      </c>
    </row>
    <row r="38" spans="1:9">
      <c r="A38" s="36">
        <v>1</v>
      </c>
      <c r="B38" s="529" t="s">
        <v>299</v>
      </c>
      <c r="C38" s="512"/>
      <c r="D38" s="528" t="s">
        <v>305</v>
      </c>
      <c r="G38" s="547">
        <f>C78-G37</f>
        <v>53381.25</v>
      </c>
      <c r="H38" s="173" t="s">
        <v>343</v>
      </c>
    </row>
    <row r="39" spans="1:9">
      <c r="A39" s="36">
        <v>5</v>
      </c>
      <c r="B39" s="531" t="s">
        <v>321</v>
      </c>
      <c r="C39" s="512">
        <f>(99*8500/21)/2</f>
        <v>20035.714285714286</v>
      </c>
    </row>
    <row r="40" spans="1:9">
      <c r="A40" s="36">
        <v>3</v>
      </c>
      <c r="B40" s="530" t="s">
        <v>302</v>
      </c>
      <c r="C40" s="512">
        <f>50000*7</f>
        <v>350000</v>
      </c>
      <c r="G40" s="548">
        <f>(G38+G35)/2</f>
        <v>64462.946428571428</v>
      </c>
      <c r="H40" s="173" t="s">
        <v>344</v>
      </c>
    </row>
    <row r="41" spans="1:9">
      <c r="A41" s="36">
        <v>2</v>
      </c>
      <c r="B41" s="530" t="s">
        <v>301</v>
      </c>
      <c r="C41" s="512">
        <v>1000000</v>
      </c>
      <c r="E41">
        <f>21*7</f>
        <v>147</v>
      </c>
      <c r="G41" s="548">
        <v>65000</v>
      </c>
      <c r="H41" s="173" t="s">
        <v>374</v>
      </c>
    </row>
    <row r="42" spans="1:9">
      <c r="A42" s="36">
        <v>3</v>
      </c>
      <c r="B42" s="530" t="s">
        <v>303</v>
      </c>
      <c r="C42" s="512">
        <f>33*8500</f>
        <v>280500</v>
      </c>
    </row>
    <row r="43" spans="1:9">
      <c r="A43" s="36">
        <v>4</v>
      </c>
      <c r="B43" s="531" t="s">
        <v>318</v>
      </c>
      <c r="C43" s="512">
        <v>115000</v>
      </c>
      <c r="E43">
        <f>35*9</f>
        <v>315</v>
      </c>
    </row>
    <row r="44" spans="1:9">
      <c r="A44" s="36">
        <v>5</v>
      </c>
      <c r="B44" s="178" t="s">
        <v>322</v>
      </c>
      <c r="C44" s="512"/>
    </row>
    <row r="45" spans="1:9">
      <c r="B45" s="512"/>
      <c r="C45" s="512"/>
    </row>
    <row r="46" spans="1:9">
      <c r="B46" s="512"/>
      <c r="C46" s="512"/>
      <c r="I46">
        <f>21*7</f>
        <v>147</v>
      </c>
    </row>
    <row r="47" spans="1:9">
      <c r="B47" s="512" t="s">
        <v>129</v>
      </c>
      <c r="C47" s="512">
        <f>SUM(C38:C46)</f>
        <v>1765535.7142857143</v>
      </c>
      <c r="I47">
        <f>6*10</f>
        <v>60</v>
      </c>
    </row>
    <row r="48" spans="1:9">
      <c r="B48" s="512" t="s">
        <v>306</v>
      </c>
      <c r="C48" s="515">
        <f>C47/7</f>
        <v>252219.38775510204</v>
      </c>
    </row>
    <row r="49" spans="1:7">
      <c r="B49" s="511"/>
    </row>
    <row r="50" spans="1:7">
      <c r="A50" s="532" t="s">
        <v>324</v>
      </c>
    </row>
    <row r="52" spans="1:7">
      <c r="A52" s="513" t="s">
        <v>4</v>
      </c>
      <c r="B52" s="513" t="s">
        <v>7</v>
      </c>
      <c r="C52" s="513" t="s">
        <v>300</v>
      </c>
      <c r="D52" s="513" t="s">
        <v>6</v>
      </c>
      <c r="G52" s="515">
        <f>C48-C63</f>
        <v>127332.48299319728</v>
      </c>
    </row>
    <row r="53" spans="1:7">
      <c r="A53" s="36">
        <v>1</v>
      </c>
      <c r="B53" s="529" t="s">
        <v>299</v>
      </c>
      <c r="C53" s="512"/>
      <c r="D53" s="528" t="s">
        <v>325</v>
      </c>
    </row>
    <row r="54" spans="1:7">
      <c r="A54" s="36">
        <v>5</v>
      </c>
      <c r="B54" s="531" t="s">
        <v>321</v>
      </c>
      <c r="C54" s="512">
        <f>(99*8500/21)/2</f>
        <v>20035.714285714286</v>
      </c>
      <c r="E54" s="6">
        <f>33000*1.5</f>
        <v>49500</v>
      </c>
    </row>
    <row r="55" spans="1:7">
      <c r="A55" s="36">
        <v>3</v>
      </c>
      <c r="B55" s="530" t="s">
        <v>302</v>
      </c>
      <c r="C55" s="512">
        <v>500000</v>
      </c>
    </row>
    <row r="56" spans="1:7">
      <c r="A56" s="36">
        <v>2</v>
      </c>
      <c r="B56" s="530" t="s">
        <v>301</v>
      </c>
      <c r="C56" s="512">
        <f>1000000/3</f>
        <v>333333.33333333331</v>
      </c>
    </row>
    <row r="57" spans="1:7">
      <c r="A57" s="36">
        <v>3</v>
      </c>
      <c r="B57" s="530" t="s">
        <v>303</v>
      </c>
      <c r="C57" s="512">
        <f>33*8500</f>
        <v>280500</v>
      </c>
    </row>
    <row r="58" spans="1:7">
      <c r="A58" s="36">
        <v>4</v>
      </c>
      <c r="B58" s="531" t="s">
        <v>318</v>
      </c>
      <c r="C58" s="512">
        <v>115000</v>
      </c>
    </row>
    <row r="59" spans="1:7">
      <c r="A59" s="36">
        <v>5</v>
      </c>
      <c r="B59" s="178" t="s">
        <v>322</v>
      </c>
      <c r="C59" s="512"/>
    </row>
    <row r="60" spans="1:7">
      <c r="B60" s="512"/>
      <c r="C60" s="512"/>
    </row>
    <row r="61" spans="1:7">
      <c r="B61" s="512"/>
      <c r="C61" s="512"/>
    </row>
    <row r="62" spans="1:7">
      <c r="B62" s="512" t="s">
        <v>129</v>
      </c>
      <c r="C62" s="512">
        <f>SUM(C53:C61)</f>
        <v>1248869.0476190476</v>
      </c>
    </row>
    <row r="63" spans="1:7">
      <c r="B63" s="512" t="s">
        <v>306</v>
      </c>
      <c r="C63" s="515">
        <f>C62/10</f>
        <v>124886.90476190476</v>
      </c>
    </row>
    <row r="65" spans="1:4">
      <c r="A65" s="532" t="s">
        <v>326</v>
      </c>
    </row>
    <row r="67" spans="1:4">
      <c r="A67" s="513" t="s">
        <v>4</v>
      </c>
      <c r="B67" s="513" t="s">
        <v>7</v>
      </c>
      <c r="C67" s="513" t="s">
        <v>300</v>
      </c>
      <c r="D67" s="513" t="s">
        <v>6</v>
      </c>
    </row>
    <row r="68" spans="1:4">
      <c r="A68" s="36">
        <v>1</v>
      </c>
      <c r="B68" s="529" t="s">
        <v>299</v>
      </c>
      <c r="C68" s="512">
        <f>100000/24</f>
        <v>4166.666666666667</v>
      </c>
      <c r="D68" s="533" t="s">
        <v>325</v>
      </c>
    </row>
    <row r="69" spans="1:4">
      <c r="A69" s="36">
        <v>5</v>
      </c>
      <c r="B69" s="530" t="s">
        <v>304</v>
      </c>
      <c r="C69" s="512">
        <f>99*8500/24</f>
        <v>35062.5</v>
      </c>
    </row>
    <row r="70" spans="1:4">
      <c r="A70" s="36">
        <v>3</v>
      </c>
      <c r="B70" s="530" t="s">
        <v>302</v>
      </c>
      <c r="C70" s="512">
        <v>50000</v>
      </c>
      <c r="D70" s="509" t="s">
        <v>327</v>
      </c>
    </row>
    <row r="71" spans="1:4">
      <c r="A71" s="36">
        <v>2</v>
      </c>
      <c r="B71" s="530" t="s">
        <v>301</v>
      </c>
      <c r="C71" s="512">
        <f>1000000/3</f>
        <v>333333.33333333331</v>
      </c>
      <c r="D71" s="509" t="s">
        <v>327</v>
      </c>
    </row>
    <row r="72" spans="1:4">
      <c r="A72" s="36">
        <v>3</v>
      </c>
      <c r="B72" s="530" t="s">
        <v>303</v>
      </c>
      <c r="C72" s="512">
        <f>33*8500</f>
        <v>280500</v>
      </c>
      <c r="D72" s="509" t="s">
        <v>327</v>
      </c>
    </row>
    <row r="73" spans="1:4">
      <c r="A73" s="36">
        <v>4</v>
      </c>
      <c r="B73" s="531" t="s">
        <v>318</v>
      </c>
      <c r="C73" s="512">
        <f>115000/3</f>
        <v>38333.333333333336</v>
      </c>
    </row>
    <row r="74" spans="1:4">
      <c r="A74" s="36">
        <v>5</v>
      </c>
      <c r="B74" s="178" t="s">
        <v>319</v>
      </c>
      <c r="C74" s="512">
        <f>1600000/24</f>
        <v>66666.666666666672</v>
      </c>
    </row>
    <row r="75" spans="1:4">
      <c r="A75" s="36">
        <v>5</v>
      </c>
      <c r="B75" s="528" t="s">
        <v>320</v>
      </c>
      <c r="C75" s="512">
        <f>150000/24</f>
        <v>6250</v>
      </c>
    </row>
    <row r="76" spans="1:4">
      <c r="B76" s="512"/>
      <c r="C76" s="512"/>
    </row>
    <row r="77" spans="1:4">
      <c r="B77" s="512" t="s">
        <v>129</v>
      </c>
      <c r="C77" s="512">
        <f>SUM(C68:C76)</f>
        <v>814312.5</v>
      </c>
    </row>
    <row r="78" spans="1:4">
      <c r="B78" s="512" t="s">
        <v>306</v>
      </c>
      <c r="C78" s="515">
        <f>C77/10</f>
        <v>81431.25</v>
      </c>
    </row>
    <row r="80" spans="1:4">
      <c r="A80" s="532" t="s">
        <v>328</v>
      </c>
    </row>
    <row r="82" spans="1:5">
      <c r="A82" s="513" t="s">
        <v>4</v>
      </c>
      <c r="B82" s="513" t="s">
        <v>7</v>
      </c>
      <c r="C82" s="513" t="s">
        <v>300</v>
      </c>
      <c r="D82" s="513" t="s">
        <v>6</v>
      </c>
    </row>
    <row r="83" spans="1:5">
      <c r="A83" s="36">
        <v>1</v>
      </c>
      <c r="B83" s="529" t="s">
        <v>299</v>
      </c>
      <c r="C83" s="512">
        <f>100000/45</f>
        <v>2222.2222222222222</v>
      </c>
      <c r="D83" s="533" t="s">
        <v>331</v>
      </c>
    </row>
    <row r="84" spans="1:5">
      <c r="A84" s="36">
        <v>5</v>
      </c>
      <c r="B84" s="530" t="s">
        <v>304</v>
      </c>
      <c r="C84" s="512">
        <f>99*8500/45</f>
        <v>18700</v>
      </c>
      <c r="D84" s="509" t="s">
        <v>329</v>
      </c>
    </row>
    <row r="85" spans="1:5">
      <c r="A85" s="36">
        <v>3</v>
      </c>
      <c r="B85" s="530" t="s">
        <v>302</v>
      </c>
      <c r="C85" s="512">
        <v>35000</v>
      </c>
    </row>
    <row r="86" spans="1:5">
      <c r="A86" s="36">
        <v>2</v>
      </c>
      <c r="B86" s="531" t="s">
        <v>330</v>
      </c>
      <c r="C86" s="512">
        <v>300000</v>
      </c>
    </row>
    <row r="87" spans="1:5">
      <c r="A87" s="36">
        <v>3</v>
      </c>
      <c r="B87" s="530" t="s">
        <v>303</v>
      </c>
      <c r="C87" s="512"/>
    </row>
    <row r="88" spans="1:5">
      <c r="A88" s="36">
        <v>4</v>
      </c>
      <c r="B88" s="531" t="s">
        <v>318</v>
      </c>
      <c r="C88" s="512"/>
      <c r="E88" s="170"/>
    </row>
    <row r="89" spans="1:5">
      <c r="A89" s="36">
        <v>5</v>
      </c>
      <c r="B89" s="178" t="s">
        <v>319</v>
      </c>
      <c r="C89" s="512">
        <f>1600000/45</f>
        <v>35555.555555555555</v>
      </c>
    </row>
    <row r="90" spans="1:5">
      <c r="A90" s="36">
        <v>5</v>
      </c>
      <c r="B90" s="528" t="s">
        <v>320</v>
      </c>
      <c r="C90" s="512">
        <v>150000</v>
      </c>
    </row>
    <row r="91" spans="1:5">
      <c r="B91" s="512"/>
      <c r="C91" s="512"/>
    </row>
    <row r="92" spans="1:5">
      <c r="B92" s="512" t="s">
        <v>129</v>
      </c>
      <c r="C92" s="512">
        <f>SUM(C83:C91)</f>
        <v>541477.77777777775</v>
      </c>
    </row>
    <row r="93" spans="1:5">
      <c r="B93" s="512" t="s">
        <v>306</v>
      </c>
      <c r="C93" s="515">
        <f>C92/4</f>
        <v>135369.44444444444</v>
      </c>
    </row>
    <row r="96" spans="1:5">
      <c r="B96" s="173" t="s">
        <v>338</v>
      </c>
    </row>
    <row r="97" spans="2:4">
      <c r="B97" s="173" t="s">
        <v>340</v>
      </c>
      <c r="C97" s="515">
        <f>C33</f>
        <v>105901.78571428571</v>
      </c>
    </row>
    <row r="98" spans="2:4">
      <c r="B98" s="173"/>
      <c r="C98" s="33"/>
    </row>
    <row r="99" spans="2:4">
      <c r="B99" s="173" t="s">
        <v>339</v>
      </c>
      <c r="C99" s="33">
        <f>C93</f>
        <v>135369.44444444444</v>
      </c>
      <c r="D99" s="173"/>
    </row>
    <row r="100" spans="2:4">
      <c r="C100" s="6"/>
    </row>
    <row r="101" spans="2:4">
      <c r="C101" s="94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Budget Details</vt:lpstr>
      <vt:lpstr>BOQ MC 0</vt:lpstr>
      <vt:lpstr>Rekap Budget</vt:lpstr>
      <vt:lpstr>Budget</vt:lpstr>
      <vt:lpstr>Rekap mingguan</vt:lpstr>
      <vt:lpstr>Rincian harian MC0</vt:lpstr>
      <vt:lpstr>Ssdl Alat bhn</vt:lpstr>
      <vt:lpstr>Pekerjaan Sub</vt:lpstr>
      <vt:lpstr>Analisa bahan </vt:lpstr>
      <vt:lpstr>Budget!Print_Area</vt:lpstr>
      <vt:lpstr>'Pekerjaan Sub'!Print_Area</vt:lpstr>
      <vt:lpstr>'Rekap Budget'!Print_Area</vt:lpstr>
      <vt:lpstr>'Rekap mingguan'!Print_Area</vt:lpstr>
      <vt:lpstr>'Rincian harian MC0'!Print_Area</vt:lpstr>
      <vt:lpstr>Budget!Print_Titles</vt:lpstr>
      <vt:lpstr>'Budget Details'!Print_Titles</vt:lpstr>
      <vt:lpstr>'Rincian harian MC0'!Print_Titles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lastPrinted>2015-07-09T01:22:55Z</cp:lastPrinted>
  <dcterms:created xsi:type="dcterms:W3CDTF">2015-04-12T14:28:23Z</dcterms:created>
  <dcterms:modified xsi:type="dcterms:W3CDTF">2015-07-09T01:59:52Z</dcterms:modified>
  <cp:category/>
</cp:coreProperties>
</file>