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https://d.docs.live.net/b6ca517248b24f05/Desktop/Excel Files/"/>
    </mc:Choice>
  </mc:AlternateContent>
  <xr:revisionPtr revIDLastSave="14" documentId="13_ncr:1_{F4D0E0D5-6717-495C-8CB9-1397420E784B}" xr6:coauthVersionLast="47" xr6:coauthVersionMax="47" xr10:uidLastSave="{E8185D76-C575-484B-B9BB-E6C5D45D797F}"/>
  <bookViews>
    <workbookView xWindow="-120" yWindow="-120" windowWidth="38640" windowHeight="21120" activeTab="6" xr2:uid="{00000000-000D-0000-FFFF-FFFF00000000}"/>
  </bookViews>
  <sheets>
    <sheet name="Form" sheetId="11" r:id="rId1"/>
    <sheet name="ItemMaster" sheetId="1" r:id="rId2"/>
    <sheet name="Sales" sheetId="13" r:id="rId3"/>
    <sheet name="Summary" sheetId="9" r:id="rId4"/>
    <sheet name="Lookup" sheetId="16" r:id="rId5"/>
    <sheet name="Pivot" sheetId="17" r:id="rId6"/>
    <sheet name="Dashboard" sheetId="20" r:id="rId7"/>
    <sheet name="SearchData" sheetId="5" state="hidden" r:id="rId8"/>
  </sheets>
  <definedNames>
    <definedName name="_xleta.SUM" hidden="1" xlm="1">#NAME?</definedName>
    <definedName name="data">Table2[[Item ID]:[Selling Price]]</definedName>
    <definedName name="item_data">ItemMaster!$B$2:$B$1048576</definedName>
    <definedName name="MASTER_LIST">ItemMaster!$B:$L</definedName>
    <definedName name="Slicer_Category">#N/A</definedName>
    <definedName name="Slicer_Item_ID">#N/A</definedName>
  </definedNames>
  <calcPr calcId="191029"/>
  <pivotCaches>
    <pivotCache cacheId="105" r:id="rId9"/>
  </pivotCaches>
  <extLst>
    <ext xmlns:x14="http://schemas.microsoft.com/office/spreadsheetml/2009/9/main" uri="{BBE1A952-AA13-448e-AADC-164F8A28A991}">
      <x14:slicerCaches>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2" i="1" l="1"/>
  <c r="L3" i="1"/>
  <c r="L4" i="1"/>
  <c r="L5" i="1"/>
  <c r="L6" i="1"/>
  <c r="L7" i="1"/>
  <c r="L8" i="1"/>
  <c r="L9" i="1"/>
  <c r="L10" i="1"/>
  <c r="L11" i="1"/>
  <c r="L12" i="1"/>
  <c r="L13" i="1"/>
  <c r="L14" i="1"/>
  <c r="L15" i="1"/>
  <c r="L16" i="1"/>
  <c r="L17" i="1"/>
  <c r="L18" i="1"/>
  <c r="L19" i="1"/>
  <c r="G14" i="13"/>
  <c r="G13" i="13"/>
  <c r="G12" i="13"/>
  <c r="G11" i="13"/>
  <c r="G9" i="13"/>
  <c r="G10" i="13"/>
  <c r="G3" i="13"/>
  <c r="G4" i="13"/>
  <c r="G5" i="13"/>
  <c r="G6" i="13"/>
  <c r="G7" i="13"/>
  <c r="G8" i="13"/>
  <c r="J38" i="20"/>
  <c r="K38" i="20"/>
  <c r="L38" i="20"/>
  <c r="M38" i="20"/>
  <c r="J39" i="20"/>
  <c r="K39" i="20"/>
  <c r="L39" i="20"/>
  <c r="M39" i="20"/>
  <c r="J40" i="20"/>
  <c r="K40" i="20"/>
  <c r="L40" i="20"/>
  <c r="M40" i="20"/>
  <c r="J41" i="20"/>
  <c r="K41" i="20"/>
  <c r="L41" i="20"/>
  <c r="M41" i="20"/>
  <c r="J42" i="20"/>
  <c r="K42" i="20"/>
  <c r="L42" i="20"/>
  <c r="M42" i="20"/>
  <c r="J43" i="20"/>
  <c r="K43" i="20"/>
  <c r="L43" i="20"/>
  <c r="M43" i="20"/>
  <c r="J44" i="20"/>
  <c r="K44" i="20"/>
  <c r="L44" i="20"/>
  <c r="M44" i="20"/>
  <c r="D38" i="20"/>
  <c r="E38" i="20"/>
  <c r="F38" i="20"/>
  <c r="G38" i="20"/>
  <c r="D39" i="20"/>
  <c r="E39" i="20"/>
  <c r="F39" i="20"/>
  <c r="G39" i="20"/>
  <c r="D40" i="20"/>
  <c r="E40" i="20"/>
  <c r="F40" i="20"/>
  <c r="G40" i="20"/>
  <c r="D41" i="20"/>
  <c r="E41" i="20"/>
  <c r="F41" i="20"/>
  <c r="G41" i="20"/>
  <c r="D42" i="20"/>
  <c r="E42" i="20"/>
  <c r="F42" i="20"/>
  <c r="G42" i="20"/>
  <c r="D43" i="20"/>
  <c r="E43" i="20"/>
  <c r="F43" i="20"/>
  <c r="G43" i="20"/>
  <c r="AG3" i="17"/>
  <c r="AG4" i="17"/>
  <c r="AG7" i="17"/>
  <c r="AG6" i="17"/>
  <c r="AG8" i="17"/>
  <c r="AG14" i="17" l="1"/>
  <c r="AG11" i="17"/>
  <c r="AG12" i="17"/>
  <c r="N44" i="20"/>
  <c r="N41" i="20"/>
  <c r="N39" i="20"/>
  <c r="N43" i="20"/>
  <c r="H41" i="20"/>
  <c r="N38" i="20"/>
  <c r="H39" i="20"/>
  <c r="N40" i="20"/>
  <c r="H43" i="20"/>
  <c r="N42" i="20"/>
  <c r="H38" i="20"/>
  <c r="H40" i="20"/>
  <c r="H42" i="20"/>
  <c r="AG10" i="17"/>
  <c r="AG2" i="17"/>
  <c r="AH12" i="17" l="1"/>
  <c r="AI12" i="17" s="1"/>
  <c r="AH10" i="17"/>
  <c r="AI10" i="17" s="1"/>
  <c r="AH11" i="17"/>
  <c r="AI11" i="17" s="1"/>
  <c r="G2" i="13"/>
  <c r="A9" i="9" l="1"/>
  <c r="G9" i="9" s="1"/>
  <c r="A10" i="9"/>
  <c r="G10" i="9" s="1"/>
  <c r="A11" i="9"/>
  <c r="G11" i="9" s="1"/>
  <c r="A12" i="9"/>
  <c r="G12" i="9" s="1"/>
  <c r="A13" i="9"/>
  <c r="G13" i="9" s="1"/>
  <c r="A14" i="9"/>
  <c r="G14" i="9" s="1"/>
  <c r="A15" i="9"/>
  <c r="G15" i="9" s="1"/>
  <c r="A16" i="9"/>
  <c r="G16" i="9" s="1"/>
  <c r="A17" i="9"/>
  <c r="G17" i="9" s="1"/>
  <c r="A18" i="9"/>
  <c r="G18" i="9" s="1"/>
  <c r="A19" i="9"/>
  <c r="G19" i="9" s="1"/>
  <c r="A20" i="9"/>
  <c r="G20" i="9" s="1"/>
  <c r="A21" i="9"/>
  <c r="G21" i="9" s="1"/>
  <c r="A22" i="9"/>
  <c r="G22" i="9" s="1"/>
  <c r="A23" i="9"/>
  <c r="G23" i="9" s="1"/>
  <c r="A24" i="9"/>
  <c r="G24" i="9" s="1"/>
  <c r="A25" i="9"/>
  <c r="G25" i="9" s="1"/>
  <c r="A26" i="9"/>
  <c r="G26" i="9" s="1"/>
  <c r="A27" i="9"/>
  <c r="G27" i="9" s="1"/>
  <c r="A28" i="9"/>
  <c r="G28" i="9" s="1"/>
  <c r="A29" i="9"/>
  <c r="G29" i="9" s="1"/>
  <c r="A30" i="9"/>
  <c r="G30" i="9" s="1"/>
  <c r="A2" i="9"/>
  <c r="G2" i="9" s="1"/>
  <c r="A3" i="9"/>
  <c r="G3" i="9" s="1"/>
  <c r="A4" i="9"/>
  <c r="G4" i="9" s="1"/>
  <c r="A5" i="9"/>
  <c r="G5" i="9" s="1"/>
  <c r="A6" i="9"/>
  <c r="G6" i="9" s="1"/>
  <c r="A7" i="9"/>
  <c r="G7" i="9" s="1"/>
  <c r="A8" i="9"/>
  <c r="G8" i="9" s="1"/>
  <c r="A2" i="16" l="1"/>
  <c r="K2" i="9"/>
  <c r="Q2" i="9"/>
  <c r="J2" i="9"/>
  <c r="H2" i="9"/>
  <c r="I2" i="9" s="1"/>
  <c r="K18" i="9"/>
  <c r="Q18" i="9"/>
  <c r="J18" i="9"/>
  <c r="N18" i="9"/>
  <c r="H28" i="9"/>
  <c r="I28" i="9" s="1"/>
  <c r="N28" i="9"/>
  <c r="K28" i="9"/>
  <c r="Q28" i="9"/>
  <c r="J28" i="9"/>
  <c r="H26" i="9"/>
  <c r="I26" i="9" s="1"/>
  <c r="K26" i="9"/>
  <c r="J26" i="9"/>
  <c r="N26" i="9"/>
  <c r="Q26" i="9"/>
  <c r="Q8" i="9"/>
  <c r="J8" i="9"/>
  <c r="K8" i="9"/>
  <c r="N8" i="9"/>
  <c r="K7" i="9"/>
  <c r="Q7" i="9"/>
  <c r="J7" i="9"/>
  <c r="H24" i="9"/>
  <c r="I24" i="9" s="1"/>
  <c r="N24" i="9"/>
  <c r="Q24" i="9"/>
  <c r="J24" i="9"/>
  <c r="K24" i="9"/>
  <c r="J12" i="9"/>
  <c r="N12" i="9"/>
  <c r="K12" i="9"/>
  <c r="Q12" i="9"/>
  <c r="K30" i="9"/>
  <c r="Q30" i="9"/>
  <c r="J30" i="9"/>
  <c r="N30" i="9"/>
  <c r="J17" i="9"/>
  <c r="K17" i="9"/>
  <c r="Q17" i="9"/>
  <c r="N17" i="9"/>
  <c r="K15" i="9"/>
  <c r="Q15" i="9"/>
  <c r="N15" i="9"/>
  <c r="J15" i="9"/>
  <c r="J13" i="9"/>
  <c r="K13" i="9"/>
  <c r="Q13" i="9"/>
  <c r="N13" i="9"/>
  <c r="H23" i="9"/>
  <c r="I23" i="9" s="1"/>
  <c r="N23" i="9"/>
  <c r="Q23" i="9"/>
  <c r="J23" i="9"/>
  <c r="K23" i="9"/>
  <c r="J11" i="9"/>
  <c r="N11" i="9"/>
  <c r="Q11" i="9"/>
  <c r="K11" i="9"/>
  <c r="H20" i="9"/>
  <c r="I20" i="9" s="1"/>
  <c r="J20" i="9"/>
  <c r="N20" i="9"/>
  <c r="K20" i="9"/>
  <c r="Q20" i="9"/>
  <c r="K16" i="9"/>
  <c r="Q16" i="9"/>
  <c r="J16" i="9"/>
  <c r="N16" i="9"/>
  <c r="Q5" i="9"/>
  <c r="K5" i="9"/>
  <c r="J5" i="9"/>
  <c r="J10" i="9"/>
  <c r="N10" i="9"/>
  <c r="K10" i="9"/>
  <c r="Q10" i="9"/>
  <c r="K3" i="9"/>
  <c r="Q3" i="9"/>
  <c r="J3" i="9"/>
  <c r="K19" i="9"/>
  <c r="Q19" i="9"/>
  <c r="J19" i="9"/>
  <c r="N19" i="9"/>
  <c r="H29" i="9"/>
  <c r="I29" i="9" s="1"/>
  <c r="K29" i="9"/>
  <c r="Q29" i="9"/>
  <c r="J29" i="9"/>
  <c r="N29" i="9"/>
  <c r="H27" i="9"/>
  <c r="I27" i="9" s="1"/>
  <c r="K27" i="9"/>
  <c r="Q27" i="9"/>
  <c r="J27" i="9"/>
  <c r="N27" i="9"/>
  <c r="J14" i="9"/>
  <c r="Q14" i="9"/>
  <c r="K14" i="9"/>
  <c r="N14" i="9"/>
  <c r="N25" i="9"/>
  <c r="K25" i="9"/>
  <c r="J25" i="9"/>
  <c r="Q25" i="9"/>
  <c r="K6" i="9"/>
  <c r="Q6" i="9"/>
  <c r="J6" i="9"/>
  <c r="H22" i="9"/>
  <c r="I22" i="9" s="1"/>
  <c r="J22" i="9"/>
  <c r="K22" i="9"/>
  <c r="N22" i="9"/>
  <c r="Q22" i="9"/>
  <c r="J4" i="9"/>
  <c r="K4" i="9"/>
  <c r="Q4" i="9"/>
  <c r="H21" i="9"/>
  <c r="I21" i="9" s="1"/>
  <c r="N21" i="9"/>
  <c r="K21" i="9"/>
  <c r="J21" i="9"/>
  <c r="Q21" i="9"/>
  <c r="N9" i="9"/>
  <c r="K9" i="9"/>
  <c r="Q9" i="9"/>
  <c r="J9" i="9"/>
  <c r="A13" i="16"/>
  <c r="H13" i="9"/>
  <c r="I13" i="9" s="1"/>
  <c r="A12" i="16"/>
  <c r="H12" i="9"/>
  <c r="I12" i="9" s="1"/>
  <c r="A19" i="16"/>
  <c r="H19" i="9"/>
  <c r="I19" i="9" s="1"/>
  <c r="A18" i="16"/>
  <c r="H18" i="9"/>
  <c r="I18" i="9" s="1"/>
  <c r="A16" i="16"/>
  <c r="H16" i="9"/>
  <c r="I16" i="9" s="1"/>
  <c r="A15" i="16"/>
  <c r="H15" i="9"/>
  <c r="I15" i="9" s="1"/>
  <c r="A6" i="16"/>
  <c r="H6" i="9"/>
  <c r="I6" i="9" s="1"/>
  <c r="A11" i="16"/>
  <c r="H11" i="9"/>
  <c r="I11" i="9" s="1"/>
  <c r="A3" i="16"/>
  <c r="H3" i="9"/>
  <c r="I3" i="9" s="1"/>
  <c r="A5" i="16"/>
  <c r="H5" i="9"/>
  <c r="I5" i="9" s="1"/>
  <c r="A10" i="16"/>
  <c r="H10" i="9"/>
  <c r="I10" i="9" s="1"/>
  <c r="A17" i="16"/>
  <c r="H17" i="9"/>
  <c r="I17" i="9" s="1"/>
  <c r="A14" i="16"/>
  <c r="H14" i="9"/>
  <c r="I14" i="9" s="1"/>
  <c r="A8" i="16"/>
  <c r="H8" i="9"/>
  <c r="I8" i="9" s="1"/>
  <c r="A7" i="16"/>
  <c r="H7" i="9"/>
  <c r="I7" i="9" s="1"/>
  <c r="A4" i="16"/>
  <c r="H4" i="9"/>
  <c r="I4" i="9" s="1"/>
  <c r="A9" i="16"/>
  <c r="H9" i="9"/>
  <c r="I9" i="9" s="1"/>
  <c r="L29" i="9"/>
  <c r="L19" i="9"/>
  <c r="L11" i="9"/>
  <c r="L20" i="9"/>
  <c r="L18" i="9"/>
  <c r="L28" i="9"/>
  <c r="L16" i="9"/>
  <c r="L26" i="9"/>
  <c r="L14" i="9"/>
  <c r="L8" i="9"/>
  <c r="H25" i="9"/>
  <c r="I25" i="9" s="1"/>
  <c r="L25" i="9"/>
  <c r="L24" i="9"/>
  <c r="L6" i="9"/>
  <c r="L5" i="9"/>
  <c r="L22" i="9"/>
  <c r="L10" i="9"/>
  <c r="L3" i="9"/>
  <c r="L2" i="9"/>
  <c r="H30" i="9"/>
  <c r="I30" i="9" s="1"/>
  <c r="L30" i="9"/>
  <c r="L17" i="9"/>
  <c r="L27" i="9"/>
  <c r="L15" i="9"/>
  <c r="L13" i="9"/>
  <c r="L7" i="9"/>
  <c r="L12" i="9"/>
  <c r="L23" i="9"/>
  <c r="L4" i="9"/>
  <c r="L21" i="9"/>
  <c r="L9" i="9"/>
  <c r="D20" i="9"/>
  <c r="P20" i="9"/>
  <c r="O20" i="9"/>
  <c r="F19" i="9"/>
  <c r="P19" i="9"/>
  <c r="O19" i="9"/>
  <c r="D18" i="9"/>
  <c r="P18" i="9"/>
  <c r="O18" i="9"/>
  <c r="B3" i="9"/>
  <c r="D30" i="9"/>
  <c r="P30" i="9"/>
  <c r="O30" i="9"/>
  <c r="E29" i="9"/>
  <c r="P29" i="9"/>
  <c r="O29" i="9"/>
  <c r="E17" i="9"/>
  <c r="P17" i="9"/>
  <c r="O17" i="9"/>
  <c r="P16" i="9"/>
  <c r="O16" i="9"/>
  <c r="B7" i="9"/>
  <c r="F2" i="9"/>
  <c r="D28" i="9"/>
  <c r="P28" i="9"/>
  <c r="O28" i="9"/>
  <c r="F27" i="9"/>
  <c r="P27" i="9"/>
  <c r="O27" i="9"/>
  <c r="F15" i="9"/>
  <c r="P15" i="9"/>
  <c r="O15" i="9"/>
  <c r="D26" i="9"/>
  <c r="P26" i="9"/>
  <c r="O26" i="9"/>
  <c r="D14" i="9"/>
  <c r="E25" i="9"/>
  <c r="O25" i="9"/>
  <c r="P25" i="9"/>
  <c r="E13" i="9"/>
  <c r="D24" i="9"/>
  <c r="O24" i="9"/>
  <c r="P24" i="9"/>
  <c r="D12" i="9"/>
  <c r="F23" i="9"/>
  <c r="O23" i="9"/>
  <c r="P23" i="9"/>
  <c r="F11" i="9"/>
  <c r="D22" i="9"/>
  <c r="O22" i="9"/>
  <c r="P22" i="9"/>
  <c r="D10" i="9"/>
  <c r="F8" i="9"/>
  <c r="F6" i="9"/>
  <c r="E5" i="9"/>
  <c r="F4" i="9"/>
  <c r="E21" i="9"/>
  <c r="P21" i="9"/>
  <c r="O21" i="9"/>
  <c r="E9" i="9"/>
  <c r="D16" i="9"/>
  <c r="M25" i="9"/>
  <c r="M17" i="9"/>
  <c r="M24" i="9"/>
  <c r="M20" i="9"/>
  <c r="M16" i="9"/>
  <c r="M27" i="9"/>
  <c r="M23" i="9"/>
  <c r="M19" i="9"/>
  <c r="M15" i="9"/>
  <c r="M29" i="9"/>
  <c r="M21" i="9"/>
  <c r="O13" i="9"/>
  <c r="P13" i="9" s="1"/>
  <c r="M28" i="9"/>
  <c r="M30" i="9"/>
  <c r="M26" i="9"/>
  <c r="M22" i="9"/>
  <c r="M18" i="9"/>
  <c r="B22" i="9"/>
  <c r="E26" i="9"/>
  <c r="F10" i="9"/>
  <c r="C15" i="9"/>
  <c r="B19" i="9"/>
  <c r="B30" i="9"/>
  <c r="B14" i="9"/>
  <c r="E10" i="9"/>
  <c r="B27" i="9"/>
  <c r="B11" i="9"/>
  <c r="F26" i="9"/>
  <c r="C23" i="9"/>
  <c r="B4" i="9"/>
  <c r="C30" i="9"/>
  <c r="C22" i="9"/>
  <c r="C14" i="9"/>
  <c r="D8" i="9"/>
  <c r="E22" i="9"/>
  <c r="E8" i="9"/>
  <c r="F22" i="9"/>
  <c r="C27" i="9"/>
  <c r="C19" i="9"/>
  <c r="C11" i="9"/>
  <c r="B26" i="9"/>
  <c r="B18" i="9"/>
  <c r="B10" i="9"/>
  <c r="D4" i="9"/>
  <c r="E18" i="9"/>
  <c r="E4" i="9"/>
  <c r="F18" i="9"/>
  <c r="C26" i="9"/>
  <c r="C18" i="9"/>
  <c r="C10" i="9"/>
  <c r="B23" i="9"/>
  <c r="B15" i="9"/>
  <c r="B8" i="9"/>
  <c r="E30" i="9"/>
  <c r="E14" i="9"/>
  <c r="F30" i="9"/>
  <c r="F14" i="9"/>
  <c r="C29" i="9"/>
  <c r="C25" i="9"/>
  <c r="C21" i="9"/>
  <c r="C17" i="9"/>
  <c r="C13" i="9"/>
  <c r="C9" i="9"/>
  <c r="C5" i="9"/>
  <c r="B6" i="9"/>
  <c r="B2" i="9"/>
  <c r="D27" i="9"/>
  <c r="D23" i="9"/>
  <c r="D19" i="9"/>
  <c r="D15" i="9"/>
  <c r="D11" i="9"/>
  <c r="D7" i="9"/>
  <c r="D3" i="9"/>
  <c r="E28" i="9"/>
  <c r="E24" i="9"/>
  <c r="E20" i="9"/>
  <c r="E16" i="9"/>
  <c r="E12" i="9"/>
  <c r="F29" i="9"/>
  <c r="F25" i="9"/>
  <c r="F21" i="9"/>
  <c r="F17" i="9"/>
  <c r="F13" i="9"/>
  <c r="F9" i="9"/>
  <c r="F5" i="9"/>
  <c r="C28" i="9"/>
  <c r="C24" i="9"/>
  <c r="C20" i="9"/>
  <c r="C16" i="9"/>
  <c r="C12" i="9"/>
  <c r="C8" i="9"/>
  <c r="C4" i="9"/>
  <c r="B29" i="9"/>
  <c r="B25" i="9"/>
  <c r="B21" i="9"/>
  <c r="B17" i="9"/>
  <c r="B13" i="9"/>
  <c r="B9" i="9"/>
  <c r="B5" i="9"/>
  <c r="D6" i="9"/>
  <c r="D2" i="9"/>
  <c r="E27" i="9"/>
  <c r="E23" i="9"/>
  <c r="E19" i="9"/>
  <c r="E15" i="9"/>
  <c r="E11" i="9"/>
  <c r="E7" i="9"/>
  <c r="N7" i="9" s="1"/>
  <c r="E3" i="9"/>
  <c r="F28" i="9"/>
  <c r="F24" i="9"/>
  <c r="F20" i="9"/>
  <c r="F16" i="9"/>
  <c r="F12" i="9"/>
  <c r="C7" i="9"/>
  <c r="C3" i="9"/>
  <c r="B28" i="9"/>
  <c r="B24" i="9"/>
  <c r="B20" i="9"/>
  <c r="B16" i="9"/>
  <c r="B12" i="9"/>
  <c r="D29" i="9"/>
  <c r="D25" i="9"/>
  <c r="D21" i="9"/>
  <c r="D17" i="9"/>
  <c r="D13" i="9"/>
  <c r="D9" i="9"/>
  <c r="D5" i="9"/>
  <c r="E6" i="9"/>
  <c r="E2" i="9"/>
  <c r="F7" i="9"/>
  <c r="F3" i="9"/>
  <c r="C6" i="9"/>
  <c r="C2" i="9"/>
  <c r="N4" i="9" l="1"/>
  <c r="N5" i="9"/>
  <c r="N6" i="9"/>
  <c r="N3" i="9"/>
  <c r="N2" i="9"/>
  <c r="O8" i="9"/>
  <c r="P8" i="9" s="1"/>
  <c r="S2" i="9"/>
  <c r="O4" i="9"/>
  <c r="P4" i="9" s="1"/>
  <c r="M13" i="9"/>
  <c r="M5" i="9"/>
  <c r="O12" i="9"/>
  <c r="P12" i="9" s="1"/>
  <c r="O5" i="9"/>
  <c r="P5" i="9" s="1"/>
  <c r="M9" i="9"/>
  <c r="O2" i="9"/>
  <c r="P2" i="9" s="1"/>
  <c r="O6" i="9"/>
  <c r="P6" i="9" s="1"/>
  <c r="O3" i="9"/>
  <c r="P3" i="9" s="1"/>
  <c r="O10" i="9"/>
  <c r="P10" i="9" s="1"/>
  <c r="O7" i="9"/>
  <c r="P7" i="9" s="1"/>
  <c r="O14" i="9"/>
  <c r="P14" i="9" s="1"/>
  <c r="O11" i="9"/>
  <c r="P11" i="9" s="1"/>
  <c r="O9" i="9"/>
  <c r="P9" i="9" s="1"/>
  <c r="M11" i="9"/>
  <c r="M8" i="9"/>
  <c r="M14" i="9"/>
  <c r="M2" i="9"/>
  <c r="M6" i="9"/>
  <c r="M3" i="9"/>
  <c r="M7" i="9"/>
  <c r="M12" i="9"/>
  <c r="M10" i="9"/>
  <c r="M4" i="9"/>
  <c r="B17" i="16" l="1" a="1"/>
  <c r="B18" i="16" a="1"/>
  <c r="B11" i="16" a="1"/>
  <c r="B12" i="16" a="1"/>
  <c r="B5" i="16" a="1"/>
  <c r="B2" i="16" a="1"/>
  <c r="B3" i="16" a="1"/>
  <c r="B8" i="16" a="1"/>
  <c r="B16" i="16" a="1"/>
  <c r="B15" i="16" a="1"/>
  <c r="B10" i="16" a="1"/>
  <c r="B4" i="16" a="1"/>
  <c r="B14" i="16" a="1"/>
  <c r="B6" i="16" a="1"/>
  <c r="B19" i="16" a="1"/>
  <c r="B7" i="16" a="1"/>
  <c r="B13" i="16" a="1"/>
  <c r="B9" i="16" a="1"/>
  <c r="T2" i="9"/>
  <c r="U2" i="9"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<sst xmlns="http://schemas.openxmlformats.org/spreadsheetml/2006/main" count="149" uniqueCount="75">
  <si>
    <t>Item ID</t>
  </si>
  <si>
    <t>Product Description</t>
  </si>
  <si>
    <t>Category</t>
  </si>
  <si>
    <t>Uom</t>
  </si>
  <si>
    <t>Unit Price</t>
  </si>
  <si>
    <t>Selling Price</t>
  </si>
  <si>
    <t>Stockin Qty</t>
  </si>
  <si>
    <t>Qty</t>
  </si>
  <si>
    <t>RSP</t>
  </si>
  <si>
    <t>Sales Qty</t>
  </si>
  <si>
    <t>Sales value</t>
  </si>
  <si>
    <t>Budget</t>
  </si>
  <si>
    <t>Profit</t>
  </si>
  <si>
    <t>Stocks On Hand</t>
  </si>
  <si>
    <t>Remarks</t>
  </si>
  <si>
    <t>Grand Total</t>
  </si>
  <si>
    <t>Product Cost</t>
  </si>
  <si>
    <t xml:space="preserve">SN </t>
  </si>
  <si>
    <t>Link</t>
  </si>
  <si>
    <t>Total Sales</t>
  </si>
  <si>
    <t>Budget Cost</t>
  </si>
  <si>
    <t>Status</t>
  </si>
  <si>
    <t>Date Expire</t>
  </si>
  <si>
    <t>Days Left</t>
  </si>
  <si>
    <t>Description</t>
  </si>
  <si>
    <t>(blank)</t>
  </si>
  <si>
    <t>B</t>
  </si>
  <si>
    <t>K</t>
  </si>
  <si>
    <t>C</t>
  </si>
  <si>
    <t>Date</t>
  </si>
  <si>
    <t>File Path</t>
  </si>
  <si>
    <t>Date Created</t>
  </si>
  <si>
    <t>Stock Qty</t>
  </si>
  <si>
    <t>ID</t>
  </si>
  <si>
    <t>Sales Value Per Item</t>
  </si>
  <si>
    <t xml:space="preserve">Sales </t>
  </si>
  <si>
    <t>Profit Per Item</t>
  </si>
  <si>
    <t>Budget Cost Per Item</t>
  </si>
  <si>
    <t>Budgetcost</t>
  </si>
  <si>
    <t>Expiry Status</t>
  </si>
  <si>
    <t>Re-order Status</t>
  </si>
  <si>
    <t>Total Revenue:</t>
  </si>
  <si>
    <t>Total Profit:</t>
  </si>
  <si>
    <t>Total BudgetCost:</t>
  </si>
  <si>
    <t>Per Category</t>
  </si>
  <si>
    <t>Sum of Sales value</t>
  </si>
  <si>
    <t>Total Revenue</t>
  </si>
  <si>
    <t>Sum of Profit</t>
  </si>
  <si>
    <t>Sum of Budget</t>
  </si>
  <si>
    <t>Total Percentage</t>
  </si>
  <si>
    <t>Total Summary Per Category</t>
  </si>
  <si>
    <t>Total Summary Per Items</t>
  </si>
  <si>
    <t>Product</t>
  </si>
  <si>
    <t>Sales Per Category</t>
  </si>
  <si>
    <t>Sales Per Product</t>
  </si>
  <si>
    <t>Revenue %</t>
  </si>
  <si>
    <t>Profit Margin %</t>
  </si>
  <si>
    <t>Sum of Sales Qty</t>
  </si>
  <si>
    <t>Stocks Level</t>
  </si>
  <si>
    <t>(All)</t>
  </si>
  <si>
    <t>Variance</t>
  </si>
  <si>
    <t>Variance Amount</t>
  </si>
  <si>
    <t>Sum of Stocks On Hand</t>
  </si>
  <si>
    <t>BEAR BRAND</t>
  </si>
  <si>
    <t>POWDER MILK</t>
  </si>
  <si>
    <t>Per Box</t>
  </si>
  <si>
    <t>C:\Users\madro\Downloads\sample photos\66242-1.jpg</t>
  </si>
  <si>
    <t>RC COLA</t>
  </si>
  <si>
    <t>SOFTDRINKS</t>
  </si>
  <si>
    <t>C:\Users\madro\Downloads\sample photos\63bbb3376d42d.jpg</t>
  </si>
  <si>
    <t>CREAM 0</t>
  </si>
  <si>
    <t>BISCUIT</t>
  </si>
  <si>
    <t>C:\Users\madro\Downloads\sample photos\Cream-O-Cookies-Vanilla-90g.jpg</t>
  </si>
  <si>
    <t>18-08-2026</t>
  </si>
  <si>
    <t>Per Pc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</si>
</sst>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_([$PHP]\ * #,##0.00_);_([$PHP]\ * \(#,##0.00\);_([$PHP]\ * &quot;-&quot;??_);_(@_)"/>
    <numFmt numFmtId="165" formatCode="_-[$PHP]\ * #,##0.00_-;\-[$PHP]\ * #,##0.00_-;_-[$PHP]\ * &quot;-&quot;??_-;_-@_-"/>
    <numFmt numFmtId="166" formatCode="m/d/yyyy"/>
  </numFmts>
  <fonts count="20" x14ac:knownFonts="1">
    <font>
      <sz val="11"/>
      <color theme="1"/>
      <name val="Calibri"/>
      <family val="2"/>
      <scheme val="minor"/>
    </font>
    <font>
      <sz val="11"/>
      <color theme="1"/>
      <name val="Calibri Light"/>
      <family val="2"/>
      <scheme val="major"/>
    </font>
    <font>
      <sz val="11"/>
      <color theme="0"/>
      <name val="Impact"/>
      <family val="2"/>
    </font>
    <font>
      <sz val="11"/>
      <color theme="1"/>
      <name val="Calibri"/>
      <family val="2"/>
    </font>
    <font>
      <b/>
      <sz val="11"/>
      <color theme="4"/>
      <name val="Calibri"/>
      <family val="2"/>
      <scheme val="minor"/>
    </font>
    <font>
      <sz val="11"/>
      <color rgb="FF000000"/>
      <name val="Calibri Light"/>
    </font>
    <font>
      <sz val="11"/>
      <color theme="0"/>
      <name val="Impact"/>
    </font>
    <font>
      <b/>
      <sz val="11"/>
      <color theme="0"/>
      <name val="Calibri"/>
      <family val="2"/>
      <scheme val="minor"/>
    </font>
    <font>
      <b/>
      <sz val="12"/>
      <color theme="4"/>
      <name val="Calibri"/>
      <family val="2"/>
      <scheme val="minor"/>
    </font>
    <font>
      <b/>
      <sz val="11"/>
      <color rgb="FFFF0000"/>
      <name val="Calibri"/>
      <family val="2"/>
      <scheme val="minor"/>
    </font>
    <font>
      <sz val="11"/>
      <color theme="1"/>
      <name val="Calibri"/>
      <family val="2"/>
      <scheme val="minor"/>
    </font>
    <font>
      <b/>
      <sz val="11"/>
      <color theme="1"/>
      <name val="Calibri"/>
      <family val="2"/>
      <scheme val="minor"/>
    </font>
    <font>
      <b/>
      <sz val="11"/>
      <color theme="7" tint="0.39997558519241921"/>
      <name val="Calibri"/>
      <family val="2"/>
      <scheme val="minor"/>
    </font>
    <font>
      <sz val="11"/>
      <color theme="0"/>
      <name val="Calibri"/>
      <family val="2"/>
      <scheme val="minor"/>
    </font>
    <font>
      <sz val="11"/>
      <color theme="4" tint="-0.499984740745262"/>
      <name val="Calibri"/>
      <family val="2"/>
      <scheme val="minor"/>
    </font>
    <font>
      <b/>
      <sz val="11"/>
      <color theme="4" tint="-0.249977111117893"/>
      <name val="Calibri"/>
      <family val="2"/>
      <scheme val="minor"/>
    </font>
    <font>
      <sz val="11"/>
      <color theme="4" tint="-0.249977111117893"/>
      <name val="Calibri"/>
      <family val="2"/>
      <scheme val="minor"/>
    </font>
    <font>
      <b/>
      <sz val="14"/>
      <color theme="4" tint="-0.249977111117893"/>
      <name val="Calibri"/>
      <family val="2"/>
      <scheme val="minor"/>
    </font>
    <font>
      <sz val="14"/>
      <color theme="4" tint="-0.249977111117893"/>
      <name val="Calibri"/>
      <family val="2"/>
      <scheme val="minor"/>
    </font>
    <font>
      <b/>
      <sz val="10"/>
      <color rgb="FF008080"/>
      <name val="Segoe UI"/>
      <family val="2"/>
    </font>
  </fonts>
  <fills count="5">
    <fill>
      <patternFill patternType="none"/>
    </fill>
    <fill>
      <patternFill patternType="gray125"/>
    </fill>
    <fill>
      <patternFill patternType="solid">
        <fgColor theme="9" tint="-0.499984740745262"/>
        <bgColor indexed="64"/>
      </patternFill>
    </fill>
    <fill>
      <patternFill patternType="solid">
        <fgColor theme="4" tint="-0.499984740745262"/>
        <bgColor indexed="64"/>
      </patternFill>
    </fill>
    <fill>
      <patternFill patternType="solid">
        <fgColor theme="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0" fillId="0" borderId="0" applyFont="0" applyFill="0" applyBorder="0" applyAlignment="0" applyProtection="0"/>
  </cellStyleXfs>
  <cellXfs count="61">
    <xf numFmtId="0" fontId="0" fillId="0" borderId="0" xfId="0"/>
    <xf numFmtId="0" fontId="1" fillId="0" borderId="0" xfId="0" applyFont="1" applyAlignment="1">
      <alignment horizontal="center" vertical="center"/>
    </xf>
    <xf numFmtId="164" fontId="1" fillId="0" borderId="0" xfId="0" applyNumberFormat="1" applyFont="1" applyAlignment="1">
      <alignment horizontal="center" vertical="center"/>
    </xf>
    <xf numFmtId="164" fontId="0" fillId="0" borderId="0" xfId="0" applyNumberFormat="1"/>
    <xf numFmtId="22" fontId="1" fillId="0" borderId="0" xfId="0" applyNumberFormat="1" applyFont="1" applyAlignment="1">
      <alignment horizontal="center" vertical="center"/>
    </xf>
    <xf numFmtId="0" fontId="2" fillId="2" borderId="0" xfId="0" applyFont="1" applyFill="1" applyAlignment="1">
      <alignment horizontal="center"/>
    </xf>
    <xf numFmtId="164" fontId="2" fillId="2" borderId="0" xfId="0" applyNumberFormat="1" applyFont="1" applyFill="1" applyAlignment="1">
      <alignment horizontal="center"/>
    </xf>
    <xf numFmtId="0" fontId="1" fillId="0" borderId="0" xfId="0" applyFont="1" applyAlignment="1">
      <alignment horizontal="center"/>
    </xf>
    <xf numFmtId="164" fontId="1" fillId="0" borderId="0" xfId="0" applyNumberFormat="1" applyFont="1" applyAlignment="1">
      <alignment horizontal="center"/>
    </xf>
    <xf numFmtId="22" fontId="1" fillId="0" borderId="0" xfId="0" applyNumberFormat="1" applyFont="1" applyAlignment="1">
      <alignment horizontal="center"/>
    </xf>
    <xf numFmtId="0" fontId="3" fillId="0" borderId="0" xfId="0" applyFont="1"/>
    <xf numFmtId="165" fontId="1" fillId="0" borderId="0" xfId="0" applyNumberFormat="1" applyFont="1" applyAlignment="1">
      <alignment horizontal="center" vertical="center"/>
    </xf>
    <xf numFmtId="165" fontId="1" fillId="0" borderId="0" xfId="0" applyNumberFormat="1" applyFont="1" applyAlignment="1">
      <alignment horizontal="center"/>
    </xf>
    <xf numFmtId="165" fontId="0" fillId="0" borderId="0" xfId="0" applyNumberFormat="1"/>
    <xf numFmtId="0" fontId="2" fillId="2" borderId="0" xfId="0" applyFont="1" applyFill="1" applyAlignment="1">
      <alignment horizontal="center" vertical="center" wrapText="1"/>
    </xf>
    <xf numFmtId="165" fontId="2" fillId="2" borderId="0" xfId="0" applyNumberFormat="1" applyFont="1" applyFill="1" applyAlignment="1">
      <alignment horizontal="center" vertical="center" wrapText="1"/>
    </xf>
    <xf numFmtId="164" fontId="2" fillId="2" borderId="0" xfId="0" applyNumberFormat="1" applyFont="1" applyFill="1" applyAlignment="1">
      <alignment horizontal="center" vertical="center" wrapText="1"/>
    </xf>
    <xf numFmtId="0" fontId="0" fillId="0" borderId="0" xfId="0" applyAlignment="1">
      <alignment horizontal="center" vertical="center" wrapText="1"/>
    </xf>
    <xf numFmtId="0" fontId="0" fillId="0" borderId="0" xfId="0" pivotButton="1"/>
    <xf numFmtId="0" fontId="0" fillId="0" borderId="0" xfId="0" applyAlignment="1">
      <alignment horizontal="left"/>
    </xf>
    <xf numFmtId="165" fontId="0" fillId="0" borderId="1" xfId="0" applyNumberFormat="1" applyBorder="1"/>
    <xf numFmtId="0" fontId="4" fillId="0" borderId="0" xfId="0" applyFont="1"/>
    <xf numFmtId="164" fontId="5" fillId="0" borderId="0" xfId="0" applyNumberFormat="1" applyFont="1" applyAlignment="1">
      <alignment horizontal="center" vertical="center"/>
    </xf>
    <xf numFmtId="0" fontId="6" fillId="2" borderId="0" xfId="0" applyFont="1" applyFill="1" applyAlignment="1">
      <alignment horizontal="center" vertical="center" wrapText="1"/>
    </xf>
    <xf numFmtId="0" fontId="7" fillId="3" borderId="1" xfId="0" applyFont="1" applyFill="1" applyBorder="1" applyAlignment="1">
      <alignment horizontal="center" vertical="center" wrapText="1"/>
    </xf>
    <xf numFmtId="14" fontId="1" fillId="0" borderId="0" xfId="0" applyNumberFormat="1" applyFont="1" applyAlignment="1">
      <alignment horizontal="center" vertical="center"/>
    </xf>
    <xf numFmtId="14" fontId="2" fillId="2" borderId="0" xfId="0" applyNumberFormat="1" applyFont="1" applyFill="1" applyAlignment="1">
      <alignment horizontal="center"/>
    </xf>
    <xf numFmtId="14" fontId="0" fillId="0" borderId="0" xfId="0" applyNumberFormat="1"/>
    <xf numFmtId="14" fontId="2" fillId="2" borderId="0" xfId="0" applyNumberFormat="1" applyFont="1" applyFill="1" applyAlignment="1">
      <alignment horizontal="center" vertical="center" wrapText="1"/>
    </xf>
    <xf numFmtId="0" fontId="0" fillId="0" borderId="0" xfId="0" applyAlignment="1">
      <alignment horizontal="center"/>
    </xf>
    <xf numFmtId="0" fontId="5" fillId="0" borderId="0" xfId="0" applyFont="1" applyAlignment="1">
      <alignment horizontal="center" vertical="center"/>
    </xf>
    <xf numFmtId="0" fontId="0" fillId="0" borderId="0" xfId="0" applyAlignment="1">
      <alignment horizontal="center" vertical="center"/>
    </xf>
    <xf numFmtId="164" fontId="0" fillId="0" borderId="0" xfId="0" applyNumberFormat="1" applyAlignment="1">
      <alignment horizontal="center" vertical="center"/>
    </xf>
    <xf numFmtId="22" fontId="0" fillId="0" borderId="0" xfId="0" applyNumberFormat="1" applyAlignment="1">
      <alignment horizontal="center" vertical="center"/>
    </xf>
    <xf numFmtId="164" fontId="0" fillId="0" borderId="0" xfId="0" applyNumberFormat="1" applyAlignment="1">
      <alignment horizontal="center"/>
    </xf>
    <xf numFmtId="22" fontId="0" fillId="0" borderId="0" xfId="0" applyNumberFormat="1" applyAlignment="1">
      <alignment horizontal="center"/>
    </xf>
    <xf numFmtId="165" fontId="0" fillId="0" borderId="0" xfId="0" applyNumberFormat="1" applyAlignment="1">
      <alignment horizontal="center" vertical="center"/>
    </xf>
    <xf numFmtId="14" fontId="0" fillId="0" borderId="0" xfId="0" applyNumberFormat="1" applyAlignment="1">
      <alignment horizontal="center" vertical="center"/>
    </xf>
    <xf numFmtId="165" fontId="0" fillId="0" borderId="0" xfId="0" applyNumberFormat="1" applyAlignment="1">
      <alignment horizontal="center"/>
    </xf>
    <xf numFmtId="165" fontId="2" fillId="2" borderId="0" xfId="0" applyNumberFormat="1" applyFont="1" applyFill="1" applyAlignment="1">
      <alignment horizontal="center"/>
    </xf>
    <xf numFmtId="164" fontId="0" fillId="0" borderId="0" xfId="0" applyNumberFormat="1" applyAlignment="1">
      <alignment horizontal="left"/>
    </xf>
    <xf numFmtId="0" fontId="6" fillId="4" borderId="0" xfId="0" applyFont="1" applyFill="1" applyAlignment="1">
      <alignment horizontal="center" vertical="center" wrapText="1"/>
    </xf>
    <xf numFmtId="164" fontId="0" fillId="0" borderId="0" xfId="0" applyNumberFormat="1" applyAlignment="1">
      <alignment horizontal="left" vertical="center"/>
    </xf>
    <xf numFmtId="166" fontId="0" fillId="0" borderId="0" xfId="0" applyNumberFormat="1" applyAlignment="1">
      <alignment horizontal="center" vertical="center"/>
    </xf>
    <xf numFmtId="14" fontId="0" fillId="0" borderId="0" xfId="0" applyNumberFormat="1" applyAlignment="1">
      <alignment horizontal="center"/>
    </xf>
    <xf numFmtId="0" fontId="8" fillId="0" borderId="0" xfId="0" applyFont="1"/>
    <xf numFmtId="0" fontId="9" fillId="0" borderId="0" xfId="0" applyFont="1"/>
    <xf numFmtId="9" fontId="0" fillId="0" borderId="0" xfId="1" applyFont="1"/>
    <xf numFmtId="9" fontId="0" fillId="0" borderId="0" xfId="0" applyNumberFormat="1"/>
    <xf numFmtId="0" fontId="14" fillId="4" borderId="0" xfId="0" applyFont="1" applyFill="1"/>
    <xf numFmtId="165" fontId="14" fillId="4" borderId="0" xfId="0" applyNumberFormat="1" applyFont="1" applyFill="1"/>
    <xf numFmtId="0" fontId="12" fillId="3" borderId="0" xfId="0" applyFont="1" applyFill="1" applyAlignment="1">
      <alignment horizontal="left"/>
    </xf>
    <xf numFmtId="0" fontId="12" fillId="3" borderId="0" xfId="0" applyFont="1" applyFill="1" applyAlignment="1">
      <alignment horizontal="center"/>
    </xf>
    <xf numFmtId="0" fontId="7" fillId="3" borderId="0" xfId="0" applyFont="1" applyFill="1" applyAlignment="1">
      <alignment horizontal="center"/>
    </xf>
    <xf numFmtId="0" fontId="13" fillId="4" borderId="0" xfId="0" applyFont="1" applyFill="1"/>
    <xf numFmtId="9" fontId="11" fillId="4" borderId="0" xfId="1" applyFont="1" applyFill="1"/>
    <xf numFmtId="0" fontId="15" fillId="4" borderId="0" xfId="0" applyFont="1" applyFill="1"/>
    <xf numFmtId="0" fontId="16" fillId="4" borderId="0" xfId="0" applyFont="1" applyFill="1"/>
    <xf numFmtId="0" fontId="17" fillId="4" borderId="0" xfId="0" applyFont="1" applyFill="1"/>
    <xf numFmtId="0" fontId="18" fillId="4" borderId="0" xfId="0" applyFont="1" applyFill="1"/>
    <xf numFmtId="0" fontId="0" fillId="0" borderId="0" xfId="0" applyNumberFormat="1"/>
  </cellXfs>
  <cellStyles count="2">
    <cellStyle name="Normal" xfId="0" builtinId="0"/>
    <cellStyle name="Per cent" xfId="1" builtinId="5"/>
  </cellStyles>
  <dxfs count="67">
    <dxf>
      <border>
        <left style="thin">
          <color theme="9" tint="0.39994506668294322"/>
        </left>
        <right style="thin">
          <color theme="9" tint="0.39994506668294322"/>
        </right>
        <top style="thin">
          <color theme="9" tint="0.39994506668294322"/>
        </top>
        <bottom style="thin">
          <color theme="9" tint="0.39994506668294322"/>
        </bottom>
        <vertical/>
        <horizontal/>
      </border>
    </dxf>
    <dxf>
      <border>
        <left style="thin">
          <color theme="9" tint="-0.24994659260841701"/>
        </left>
        <right style="thin">
          <color theme="9" tint="-0.24994659260841701"/>
        </right>
        <top style="thin">
          <color theme="9" tint="-0.24994659260841701"/>
        </top>
        <bottom style="thin">
          <color theme="9" tint="-0.24994659260841701"/>
        </bottom>
        <vertical/>
        <horizontal/>
      </border>
    </dxf>
    <dxf>
      <border>
        <left style="thin">
          <color theme="9" tint="-0.499984740745262"/>
        </left>
        <right style="thin">
          <color theme="9" tint="-0.499984740745262"/>
        </right>
        <top style="thin">
          <color theme="9" tint="-0.499984740745262"/>
        </top>
        <bottom style="thin">
          <color theme="9" tint="-0.499984740745262"/>
        </bottom>
        <vertical/>
        <horizontal/>
      </border>
    </dxf>
    <dxf>
      <border>
        <left style="thin">
          <color theme="0" tint="-0.14996795556505021"/>
        </left>
        <right style="thin">
          <color theme="0" tint="-0.14996795556505021"/>
        </right>
        <top style="thin">
          <color theme="0" tint="-0.14996795556505021"/>
        </top>
        <bottom style="thin">
          <color theme="0" tint="-0.14996795556505021"/>
        </bottom>
        <vertical/>
        <horizontal/>
      </border>
    </dxf>
    <dxf>
      <border>
        <left style="thin">
          <color theme="4" tint="-0.24994659260841701"/>
        </left>
        <right style="thin">
          <color theme="4" tint="-0.24994659260841701"/>
        </right>
        <top style="thin">
          <color theme="4" tint="-0.24994659260841701"/>
        </top>
        <bottom style="thin">
          <color theme="4" tint="-0.24994659260841701"/>
        </bottom>
        <vertical/>
        <horizontal/>
      </border>
    </dxf>
    <dxf>
      <border>
        <left style="thin">
          <color theme="9" tint="-0.24994659260841701"/>
        </left>
        <right style="thin">
          <color theme="9" tint="-0.24994659260841701"/>
        </right>
        <top style="thin">
          <color theme="9" tint="-0.24994659260841701"/>
        </top>
        <bottom style="thin">
          <color theme="9" tint="-0.24994659260841701"/>
        </bottom>
        <vertical/>
        <horizontal/>
      </border>
    </dxf>
    <dxf>
      <border>
        <left style="thin">
          <color theme="9" tint="-0.499984740745262"/>
        </left>
        <right style="thin">
          <color theme="9" tint="-0.499984740745262"/>
        </right>
        <top style="thin">
          <color theme="9" tint="-0.499984740745262"/>
        </top>
        <bottom style="thin">
          <color theme="9" tint="-0.499984740745262"/>
        </bottom>
        <vertical/>
        <horizontal/>
      </border>
    </dxf>
    <dxf>
      <border>
        <left style="thin">
          <color theme="9" tint="-0.499984740745262"/>
        </left>
        <right style="thin">
          <color theme="9" tint="-0.499984740745262"/>
        </right>
        <top style="thin">
          <color theme="9" tint="-0.499984740745262"/>
        </top>
        <bottom style="thin">
          <color theme="9" tint="-0.499984740745262"/>
        </bottom>
        <vertical/>
        <horizontal/>
      </border>
    </dxf>
    <dxf>
      <border>
        <left style="thin">
          <color theme="0" tint="-0.14996795556505021"/>
        </left>
        <right style="thin">
          <color theme="0" tint="-0.14996795556505021"/>
        </right>
        <top style="thin">
          <color theme="0" tint="-0.14996795556505021"/>
        </top>
        <bottom style="thin">
          <color theme="0" tint="-0.14996795556505021"/>
        </bottom>
        <vertical/>
        <horizontal/>
      </border>
    </dxf>
    <dxf>
      <border>
        <left style="thin">
          <color rgb="FF7030A0"/>
        </left>
        <right style="thin">
          <color rgb="FF7030A0"/>
        </right>
        <top style="thin">
          <color rgb="FF7030A0"/>
        </top>
        <bottom style="thin">
          <color rgb="FF7030A0"/>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0"/>
        </patternFill>
      </fill>
    </dxf>
    <dxf>
      <font>
        <b val="0"/>
        <i val="0"/>
        <strike val="0"/>
        <condense val="0"/>
        <extend val="0"/>
        <outline val="0"/>
        <shadow val="0"/>
        <u val="none"/>
        <vertAlign val="baseline"/>
        <sz val="11"/>
        <color theme="4" tint="-0.499984740745262"/>
        <name val="Calibri"/>
        <family val="2"/>
        <scheme val="minor"/>
      </font>
      <numFmt numFmtId="165" formatCode="_-[$PHP]\ * #,##0.00_-;\-[$PHP]\ * #,##0.00_-;_-[$PHP]\ * &quot;-&quot;??_-;_-@_-"/>
      <fill>
        <patternFill patternType="solid">
          <fgColor indexed="64"/>
          <bgColor theme="0"/>
        </patternFill>
      </fill>
    </dxf>
    <dxf>
      <font>
        <b val="0"/>
        <i val="0"/>
        <strike val="0"/>
        <condense val="0"/>
        <extend val="0"/>
        <outline val="0"/>
        <shadow val="0"/>
        <u val="none"/>
        <vertAlign val="baseline"/>
        <sz val="11"/>
        <color theme="4" tint="-0.499984740745262"/>
        <name val="Calibri"/>
        <family val="2"/>
        <scheme val="minor"/>
      </font>
      <numFmt numFmtId="165" formatCode="_-[$PHP]\ * #,##0.00_-;\-[$PHP]\ * #,##0.00_-;_-[$PHP]\ * &quot;-&quot;??_-;_-@_-"/>
      <fill>
        <patternFill patternType="solid">
          <fgColor indexed="64"/>
          <bgColor theme="0"/>
        </patternFill>
      </fill>
    </dxf>
    <dxf>
      <font>
        <b val="0"/>
        <i val="0"/>
        <strike val="0"/>
        <condense val="0"/>
        <extend val="0"/>
        <outline val="0"/>
        <shadow val="0"/>
        <u val="none"/>
        <vertAlign val="baseline"/>
        <sz val="11"/>
        <color theme="4" tint="-0.499984740745262"/>
        <name val="Calibri"/>
        <family val="2"/>
        <scheme val="minor"/>
      </font>
      <numFmt numFmtId="165" formatCode="_-[$PHP]\ * #,##0.00_-;\-[$PHP]\ * #,##0.00_-;_-[$PHP]\ * &quot;-&quot;??_-;_-@_-"/>
      <fill>
        <patternFill patternType="solid">
          <fgColor indexed="64"/>
          <bgColor theme="0"/>
        </patternFill>
      </fill>
    </dxf>
    <dxf>
      <font>
        <b val="0"/>
        <i val="0"/>
        <strike val="0"/>
        <condense val="0"/>
        <extend val="0"/>
        <outline val="0"/>
        <shadow val="0"/>
        <u val="none"/>
        <vertAlign val="baseline"/>
        <sz val="11"/>
        <color theme="4" tint="-0.499984740745262"/>
        <name val="Calibri"/>
        <family val="2"/>
        <scheme val="minor"/>
      </font>
      <fill>
        <patternFill patternType="solid">
          <fgColor indexed="64"/>
          <bgColor theme="0"/>
        </patternFill>
      </fill>
    </dxf>
    <dxf>
      <font>
        <b val="0"/>
        <i val="0"/>
        <strike val="0"/>
        <condense val="0"/>
        <extend val="0"/>
        <outline val="0"/>
        <shadow val="0"/>
        <u val="none"/>
        <vertAlign val="baseline"/>
        <sz val="11"/>
        <color theme="4" tint="-0.499984740745262"/>
        <name val="Calibri"/>
        <family val="2"/>
        <scheme val="minor"/>
      </font>
      <fill>
        <patternFill patternType="solid">
          <fgColor indexed="64"/>
          <bgColor theme="0"/>
        </patternFill>
      </fill>
    </dxf>
    <dxf>
      <font>
        <b/>
        <i val="0"/>
        <strike val="0"/>
        <condense val="0"/>
        <extend val="0"/>
        <outline val="0"/>
        <shadow val="0"/>
        <u val="none"/>
        <vertAlign val="baseline"/>
        <sz val="11"/>
        <color theme="7" tint="0.39997558519241921"/>
        <name val="Calibri"/>
        <family val="2"/>
        <scheme val="minor"/>
      </font>
      <fill>
        <patternFill patternType="solid">
          <fgColor indexed="64"/>
          <bgColor theme="4" tint="-0.49998474074526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0"/>
        </patternFill>
      </fill>
    </dxf>
    <dxf>
      <font>
        <b val="0"/>
        <i val="0"/>
        <strike val="0"/>
        <condense val="0"/>
        <extend val="0"/>
        <outline val="0"/>
        <shadow val="0"/>
        <u val="none"/>
        <vertAlign val="baseline"/>
        <sz val="11"/>
        <color theme="4" tint="-0.499984740745262"/>
        <name val="Calibri"/>
        <family val="2"/>
        <scheme val="minor"/>
      </font>
      <numFmt numFmtId="165" formatCode="_-[$PHP]\ * #,##0.00_-;\-[$PHP]\ * #,##0.00_-;_-[$PHP]\ * &quot;-&quot;??_-;_-@_-"/>
      <fill>
        <patternFill patternType="solid">
          <fgColor indexed="64"/>
          <bgColor theme="0"/>
        </patternFill>
      </fill>
    </dxf>
    <dxf>
      <font>
        <b val="0"/>
        <i val="0"/>
        <strike val="0"/>
        <condense val="0"/>
        <extend val="0"/>
        <outline val="0"/>
        <shadow val="0"/>
        <u val="none"/>
        <vertAlign val="baseline"/>
        <sz val="11"/>
        <color theme="4" tint="-0.499984740745262"/>
        <name val="Calibri"/>
        <family val="2"/>
        <scheme val="minor"/>
      </font>
      <numFmt numFmtId="165" formatCode="_-[$PHP]\ * #,##0.00_-;\-[$PHP]\ * #,##0.00_-;_-[$PHP]\ * &quot;-&quot;??_-;_-@_-"/>
      <fill>
        <patternFill patternType="solid">
          <fgColor indexed="64"/>
          <bgColor theme="0"/>
        </patternFill>
      </fill>
    </dxf>
    <dxf>
      <font>
        <b val="0"/>
        <i val="0"/>
        <strike val="0"/>
        <condense val="0"/>
        <extend val="0"/>
        <outline val="0"/>
        <shadow val="0"/>
        <u val="none"/>
        <vertAlign val="baseline"/>
        <sz val="11"/>
        <color theme="4" tint="-0.499984740745262"/>
        <name val="Calibri"/>
        <family val="2"/>
        <scheme val="minor"/>
      </font>
      <numFmt numFmtId="165" formatCode="_-[$PHP]\ * #,##0.00_-;\-[$PHP]\ * #,##0.00_-;_-[$PHP]\ * &quot;-&quot;??_-;_-@_-"/>
      <fill>
        <patternFill patternType="solid">
          <fgColor indexed="64"/>
          <bgColor theme="0"/>
        </patternFill>
      </fill>
    </dxf>
    <dxf>
      <font>
        <b val="0"/>
        <i val="0"/>
        <strike val="0"/>
        <condense val="0"/>
        <extend val="0"/>
        <outline val="0"/>
        <shadow val="0"/>
        <u val="none"/>
        <vertAlign val="baseline"/>
        <sz val="11"/>
        <color theme="4" tint="-0.499984740745262"/>
        <name val="Calibri"/>
        <family val="2"/>
        <scheme val="minor"/>
      </font>
      <fill>
        <patternFill patternType="solid">
          <fgColor indexed="64"/>
          <bgColor theme="0"/>
        </patternFill>
      </fill>
    </dxf>
    <dxf>
      <font>
        <b val="0"/>
        <i val="0"/>
        <strike val="0"/>
        <condense val="0"/>
        <extend val="0"/>
        <outline val="0"/>
        <shadow val="0"/>
        <u val="none"/>
        <vertAlign val="baseline"/>
        <sz val="11"/>
        <color theme="4" tint="-0.499984740745262"/>
        <name val="Calibri"/>
        <family val="2"/>
        <scheme val="minor"/>
      </font>
      <fill>
        <patternFill patternType="solid">
          <fgColor indexed="64"/>
          <bgColor theme="0"/>
        </patternFill>
      </fill>
    </dxf>
    <dxf>
      <font>
        <b/>
        <i val="0"/>
        <strike val="0"/>
        <condense val="0"/>
        <extend val="0"/>
        <outline val="0"/>
        <shadow val="0"/>
        <u val="none"/>
        <vertAlign val="baseline"/>
        <sz val="11"/>
        <color theme="7" tint="0.39997558519241921"/>
        <name val="Calibri"/>
        <family val="2"/>
        <scheme val="minor"/>
      </font>
      <fill>
        <patternFill patternType="solid">
          <fgColor indexed="64"/>
          <bgColor theme="4" tint="-0.499984740745262"/>
        </patternFill>
      </fill>
      <alignment horizontal="center" vertical="bottom" textRotation="0" wrapText="0" indent="0" justifyLastLine="0" shrinkToFit="0" readingOrder="0"/>
    </dxf>
    <dxf>
      <numFmt numFmtId="165" formatCode="_-[$PHP]\ * #,##0.00_-;\-[$PHP]\ * #,##0.00_-;_-[$PHP]\ * &quot;-&quot;??_-;_-@_-"/>
    </dxf>
    <dxf>
      <numFmt numFmtId="165" formatCode="_-[$PHP]\ * #,##0.00_-;\-[$PHP]\ * #,##0.00_-;_-[$PHP]\ * &quot;-&quot;??_-;_-@_-"/>
    </dxf>
    <dxf>
      <numFmt numFmtId="165" formatCode="_-[$PHP]\ * #,##0.00_-;\-[$PHP]\ * #,##0.00_-;_-[$PHP]\ * &quot;-&quot;??_-;_-@_-"/>
    </dxf>
    <dxf>
      <numFmt numFmtId="165" formatCode="_-[$PHP]\ * #,##0.00_-;\-[$PHP]\ * #,##0.00_-;_-[$PHP]\ * &quot;-&quot;??_-;_-@_-"/>
    </dxf>
    <dxf>
      <numFmt numFmtId="165" formatCode="_-[$PHP]\ * #,##0.00_-;\-[$PHP]\ * #,##0.00_-;_-[$PHP]\ * &quot;-&quot;??_-;_-@_-"/>
    </dxf>
    <dxf>
      <numFmt numFmtId="165" formatCode="_-[$PHP]\ * #,##0.00_-;\-[$PHP]\ * #,##0.00_-;_-[$PHP]\ * &quot;-&quot;??_-;_-@_-"/>
    </dxf>
    <dxf>
      <font>
        <b val="0"/>
        <strike val="0"/>
        <outline val="0"/>
        <shadow val="0"/>
        <u val="none"/>
        <vertAlign val="baseline"/>
        <sz val="11"/>
        <color theme="1"/>
        <name val="Calibri"/>
        <family val="2"/>
        <scheme val="minor"/>
      </font>
      <numFmt numFmtId="165" formatCode="_-[$PHP]\ * #,##0.00_-;\-[$PHP]\ * #,##0.00_-;_-[$PHP]\ * &quot;-&quot;??_-;_-@_-"/>
      <alignment horizontal="center" vertical="center" textRotation="0" wrapText="0" indent="0" justifyLastLine="0" shrinkToFit="0" readingOrder="0"/>
    </dxf>
    <dxf>
      <numFmt numFmtId="166" formatCode="m/d/yyyy"/>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6" formatCode="m/d/yyyy"/>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4" formatCode="_([$PHP]\ * #,##0.00_);_([$PHP]\ * \(#,##0.00\);_([$PHP]\ * &quot;-&quot;??_);_(@_)"/>
      <alignment horizontal="left" vertical="center" textRotation="0" wrapText="0" indent="0" justifyLastLine="0" shrinkToFit="0" readingOrder="0"/>
    </dxf>
    <dxf>
      <numFmt numFmtId="0" formatCode="General"/>
      <alignment horizontal="center" vertical="center" textRotation="0" wrapText="0" indent="0" justifyLastLine="0" shrinkToFit="0" readingOrder="0"/>
    </dxf>
    <dxf>
      <font>
        <b val="0"/>
        <strike val="0"/>
        <outline val="0"/>
        <shadow val="0"/>
        <u val="none"/>
        <vertAlign val="baseline"/>
        <sz val="11"/>
        <color theme="1"/>
        <name val="Calibri"/>
        <family val="2"/>
        <scheme val="minor"/>
      </font>
      <numFmt numFmtId="164" formatCode="_([$PHP]\ * #,##0.00_);_([$PHP]\ * \(#,##0.00\);_([$PHP]\ * &quot;-&quot;??_);_(@_)"/>
      <alignment horizontal="center" vertical="center" textRotation="0" wrapText="0" indent="0" justifyLastLine="0" shrinkToFit="0" readingOrder="0"/>
    </dxf>
    <dxf>
      <font>
        <b val="0"/>
        <strike val="0"/>
        <outline val="0"/>
        <shadow val="0"/>
        <u val="none"/>
        <vertAlign val="baseline"/>
        <sz val="11"/>
        <color theme="1"/>
        <name val="Calibri"/>
        <family val="2"/>
        <scheme val="minor"/>
      </font>
      <numFmt numFmtId="164" formatCode="_([$PHP]\ * #,##0.00_);_([$PHP]\ * \(#,##0.00\);_([$PHP]\ * &quot;-&quot;??_);_(@_)"/>
      <alignment horizontal="center" vertical="center" textRotation="0" wrapText="0" indent="0" justifyLastLine="0" shrinkToFit="0" readingOrder="0"/>
    </dxf>
    <dxf>
      <font>
        <b val="0"/>
        <strike val="0"/>
        <outline val="0"/>
        <shadow val="0"/>
        <u val="none"/>
        <vertAlign val="baseline"/>
        <sz val="11"/>
        <color theme="1"/>
        <name val="Calibri"/>
        <family val="2"/>
        <scheme val="minor"/>
      </font>
      <alignment horizontal="center" vertical="center" textRotation="0" wrapText="0" indent="0" justifyLastLine="0" shrinkToFit="0" readingOrder="0"/>
    </dxf>
    <dxf>
      <font>
        <b val="0"/>
        <strike val="0"/>
        <outline val="0"/>
        <shadow val="0"/>
        <u val="none"/>
        <vertAlign val="baseline"/>
        <sz val="11"/>
        <color theme="1"/>
        <name val="Calibri"/>
        <family val="2"/>
        <scheme val="minor"/>
      </font>
      <alignment horizontal="center" vertical="center" textRotation="0" wrapText="0" indent="0" justifyLastLine="0" shrinkToFit="0" readingOrder="0"/>
    </dxf>
    <dxf>
      <font>
        <b val="0"/>
        <strike val="0"/>
        <outline val="0"/>
        <shadow val="0"/>
        <u val="none"/>
        <vertAlign val="baseline"/>
        <sz val="11"/>
        <color theme="1"/>
        <name val="Calibri"/>
        <family val="2"/>
        <scheme val="minor"/>
      </font>
      <alignment horizontal="center" vertical="center" textRotation="0" wrapText="0" indent="0" justifyLastLine="0" shrinkToFit="0" readingOrder="0"/>
    </dxf>
    <dxf>
      <font>
        <b val="0"/>
        <strike val="0"/>
        <outline val="0"/>
        <shadow val="0"/>
        <u val="none"/>
        <vertAlign val="baseline"/>
        <sz val="11"/>
        <color theme="1"/>
        <name val="Calibri"/>
        <family val="2"/>
        <scheme val="minor"/>
      </font>
      <alignment horizontal="center" vertical="center" textRotation="0" wrapText="0" indent="0" justifyLastLine="0" shrinkToFit="0" readingOrder="0"/>
    </dxf>
    <dxf>
      <font>
        <b val="0"/>
        <strike val="0"/>
        <outline val="0"/>
        <shadow val="0"/>
        <u val="none"/>
        <vertAlign val="baseline"/>
        <sz val="11"/>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0"/>
        <name val="Impact"/>
        <scheme val="none"/>
      </font>
      <fill>
        <patternFill patternType="solid">
          <fgColor indexed="64"/>
          <bgColor theme="9" tint="-0.499984740745262"/>
        </patternFill>
      </fill>
      <alignment horizontal="center" vertical="bottom" textRotation="0" wrapText="0" indent="0" justifyLastLine="0" shrinkToFit="0" readingOrder="0"/>
    </dxf>
    <dxf>
      <font>
        <b val="0"/>
        <strike val="0"/>
        <outline val="0"/>
        <shadow val="0"/>
        <u val="none"/>
        <vertAlign val="baseline"/>
        <sz val="11"/>
        <color rgb="FF000000"/>
        <name val="Calibri Light"/>
        <scheme val="none"/>
      </font>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bri Light"/>
        <scheme val="none"/>
      </font>
      <numFmt numFmtId="164" formatCode="_([$PHP]\ * #,##0.00_);_([$PHP]\ * \(#,##0.00\);_([$PHP]\ * &quot;-&quot;??_);_(@_)"/>
      <alignment horizontal="center" vertical="center" textRotation="0" wrapText="0" indent="0" justifyLastLine="0" shrinkToFit="0" readingOrder="0"/>
    </dxf>
    <dxf>
      <font>
        <b val="0"/>
        <strike val="0"/>
        <outline val="0"/>
        <shadow val="0"/>
        <u val="none"/>
        <vertAlign val="baseline"/>
        <sz val="11"/>
        <color theme="1"/>
        <name val="Calibri Light"/>
        <scheme val="major"/>
      </font>
      <numFmt numFmtId="167" formatCode="m/d/yyyy\ h:mm"/>
      <alignment horizontal="center" vertical="center" textRotation="0" wrapText="0" indent="0" justifyLastLine="0" shrinkToFit="0" readingOrder="0"/>
    </dxf>
    <dxf>
      <font>
        <b val="0"/>
        <i val="0"/>
        <strike val="0"/>
        <condense val="0"/>
        <extend val="0"/>
        <outline val="0"/>
        <shadow val="0"/>
        <u val="none"/>
        <vertAlign val="baseline"/>
        <sz val="11"/>
        <color theme="1"/>
        <name val="Calibri Light"/>
        <scheme val="maj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Light"/>
        <scheme val="major"/>
      </font>
      <numFmt numFmtId="164" formatCode="_([$PHP]\ * #,##0.00_);_([$PHP]\ * \(#,##0.00\);_([$PHP]\ * &quot;-&quot;??_);_(@_)"/>
      <alignment horizontal="center" vertical="center" textRotation="0" wrapText="0" indent="0" justifyLastLine="0" shrinkToFit="0" readingOrder="0"/>
    </dxf>
    <dxf>
      <font>
        <b val="0"/>
        <i val="0"/>
        <strike val="0"/>
        <condense val="0"/>
        <extend val="0"/>
        <outline val="0"/>
        <shadow val="0"/>
        <u val="none"/>
        <vertAlign val="baseline"/>
        <sz val="11"/>
        <color theme="1"/>
        <name val="Calibri Light"/>
        <scheme val="major"/>
      </font>
      <numFmt numFmtId="164" formatCode="_([$PHP]\ * #,##0.00_);_([$PHP]\ * \(#,##0.00\);_([$PHP]\ * &quot;-&quot;??_);_(@_)"/>
      <alignment horizontal="center" vertical="center" textRotation="0" wrapText="0" indent="0" justifyLastLine="0" shrinkToFit="0" readingOrder="0"/>
    </dxf>
    <dxf>
      <font>
        <b val="0"/>
        <i val="0"/>
        <strike val="0"/>
        <condense val="0"/>
        <extend val="0"/>
        <outline val="0"/>
        <shadow val="0"/>
        <u val="none"/>
        <vertAlign val="baseline"/>
        <sz val="11"/>
        <color theme="1"/>
        <name val="Calibri Light"/>
        <scheme val="major"/>
      </font>
      <numFmt numFmtId="164" formatCode="_([$PHP]\ * #,##0.00_);_([$PHP]\ * \(#,##0.00\);_([$PHP]\ * &quot;-&quot;??_);_(@_)"/>
      <alignment horizontal="center" vertical="center" textRotation="0" wrapText="0" indent="0" justifyLastLine="0" shrinkToFit="0" readingOrder="0"/>
    </dxf>
    <dxf>
      <font>
        <b val="0"/>
        <i val="0"/>
        <strike val="0"/>
        <condense val="0"/>
        <extend val="0"/>
        <outline val="0"/>
        <shadow val="0"/>
        <u val="none"/>
        <vertAlign val="baseline"/>
        <sz val="11"/>
        <color theme="1"/>
        <name val="Calibri Light"/>
        <scheme val="major"/>
      </font>
      <numFmt numFmtId="0" formatCode="General"/>
      <alignment horizontal="center" vertical="center" textRotation="0" wrapText="0" indent="0" justifyLastLine="0" shrinkToFit="0" readingOrder="0"/>
    </dxf>
    <dxf>
      <font>
        <b val="0"/>
        <strike val="0"/>
        <outline val="0"/>
        <shadow val="0"/>
        <u val="none"/>
        <vertAlign val="baseline"/>
        <sz val="11"/>
        <color theme="1"/>
        <name val="Calibri Light"/>
        <scheme val="maj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Light"/>
        <family val="2"/>
        <scheme val="major"/>
      </font>
      <numFmt numFmtId="166" formatCode="m/d/yyyy"/>
      <alignment horizontal="center" vertical="center" textRotation="0" wrapText="0" indent="0" justifyLastLine="0" shrinkToFit="0" readingOrder="0"/>
    </dxf>
    <dxf>
      <font>
        <b val="0"/>
        <i val="0"/>
        <strike val="0"/>
        <condense val="0"/>
        <extend val="0"/>
        <outline val="0"/>
        <shadow val="0"/>
        <u val="none"/>
        <vertAlign val="baseline"/>
        <sz val="11"/>
        <color theme="1"/>
        <name val="Calibri Light"/>
        <family val="2"/>
        <scheme val="maj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Light"/>
        <family val="2"/>
        <scheme val="major"/>
      </font>
      <numFmt numFmtId="166" formatCode="m/d/yyyy"/>
      <alignment horizontal="center" vertical="center" textRotation="0" wrapText="0" indent="0" justifyLastLine="0" shrinkToFit="0" readingOrder="0"/>
    </dxf>
    <dxf>
      <font>
        <b val="0"/>
        <strike val="0"/>
        <outline val="0"/>
        <shadow val="0"/>
        <u val="none"/>
        <vertAlign val="baseline"/>
        <sz val="11"/>
        <color theme="1"/>
        <name val="Calibri Light"/>
        <scheme val="major"/>
      </font>
      <numFmt numFmtId="164" formatCode="_([$PHP]\ * #,##0.00_);_([$PHP]\ * \(#,##0.00\);_([$PHP]\ * &quot;-&quot;??_);_(@_)"/>
      <alignment horizontal="center" vertical="center" textRotation="0" wrapText="0" indent="0" justifyLastLine="0" shrinkToFit="0" readingOrder="0"/>
    </dxf>
    <dxf>
      <font>
        <b val="0"/>
        <i val="0"/>
        <strike val="0"/>
        <condense val="0"/>
        <extend val="0"/>
        <outline val="0"/>
        <shadow val="0"/>
        <u val="none"/>
        <vertAlign val="baseline"/>
        <sz val="11"/>
        <color theme="1"/>
        <name val="Calibri Light"/>
        <scheme val="major"/>
      </font>
      <numFmt numFmtId="165" formatCode="_-[$PHP]\ * #,##0.00_-;\-[$PHP]\ * #,##0.00_-;_-[$PHP]\ * &quot;-&quot;??_-;_-@_-"/>
      <alignment horizontal="center" vertical="center" textRotation="0" wrapText="0" indent="0" justifyLastLine="0" shrinkToFit="0" readingOrder="0"/>
    </dxf>
    <dxf>
      <font>
        <b val="0"/>
        <strike val="0"/>
        <outline val="0"/>
        <shadow val="0"/>
        <u val="none"/>
        <vertAlign val="baseline"/>
        <sz val="11"/>
        <color theme="1"/>
        <name val="Calibri Light"/>
        <scheme val="major"/>
      </font>
      <numFmt numFmtId="0" formatCode="General"/>
      <alignment horizontal="center" vertical="center" textRotation="0" wrapText="0" indent="0" justifyLastLine="0" shrinkToFit="0" readingOrder="0"/>
    </dxf>
    <dxf>
      <font>
        <b val="0"/>
        <strike val="0"/>
        <outline val="0"/>
        <shadow val="0"/>
        <u val="none"/>
        <vertAlign val="baseline"/>
        <sz val="11"/>
        <color theme="1"/>
        <name val="Calibri Light"/>
        <scheme val="major"/>
      </font>
      <numFmt numFmtId="0" formatCode="General"/>
      <alignment horizontal="center" vertical="center" textRotation="0" wrapText="0" indent="0" justifyLastLine="0" shrinkToFit="0" readingOrder="0"/>
    </dxf>
    <dxf>
      <font>
        <b val="0"/>
        <strike val="0"/>
        <outline val="0"/>
        <shadow val="0"/>
        <u val="none"/>
        <vertAlign val="baseline"/>
        <sz val="11"/>
        <color theme="1"/>
        <name val="Calibri Light"/>
        <scheme val="major"/>
      </font>
      <numFmt numFmtId="0" formatCode="General"/>
      <alignment horizontal="center" vertical="center" textRotation="0" wrapText="0" indent="0" justifyLastLine="0" shrinkToFit="0" readingOrder="0"/>
    </dxf>
    <dxf>
      <font>
        <b val="0"/>
        <strike val="0"/>
        <outline val="0"/>
        <shadow val="0"/>
        <u val="none"/>
        <vertAlign val="baseline"/>
        <sz val="11"/>
        <color theme="1"/>
        <name val="Calibri Light"/>
        <scheme val="major"/>
      </font>
      <numFmt numFmtId="0" formatCode="General"/>
      <alignment horizontal="center" vertical="center" textRotation="0" wrapText="0" indent="0" justifyLastLine="0" shrinkToFit="0" readingOrder="0"/>
    </dxf>
    <dxf>
      <font>
        <b val="0"/>
        <strike val="0"/>
        <outline val="0"/>
        <shadow val="0"/>
        <u val="none"/>
        <vertAlign val="baseline"/>
        <sz val="11"/>
        <color rgb="FF000000"/>
        <name val="Calibri Light"/>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0"/>
        <name val="Impact"/>
        <scheme val="none"/>
      </font>
      <fill>
        <patternFill patternType="solid">
          <fgColor indexed="64"/>
          <bgColor theme="9" tint="-0.499984740745262"/>
        </patternFill>
      </fill>
      <alignment horizontal="center" vertical="center" textRotation="0" wrapText="1" indent="0" justifyLastLine="0" shrinkToFit="0" readingOrder="0"/>
    </dxf>
    <dxf>
      <font>
        <b/>
        <color theme="1"/>
      </font>
      <border>
        <bottom style="thin">
          <color theme="4"/>
        </bottom>
        <vertical/>
        <horizontal/>
      </border>
    </dxf>
    <dxf>
      <font>
        <sz val="9"/>
        <color theme="1"/>
        <name val="Segoe UI"/>
        <family val="2"/>
        <scheme val="none"/>
      </font>
      <border diagonalUp="0" diagonalDown="0">
        <left/>
        <right/>
        <top/>
        <bottom/>
        <vertical/>
        <horizontal/>
      </border>
    </dxf>
    <dxf>
      <font>
        <b/>
        <color theme="1"/>
      </font>
      <border>
        <bottom style="thin">
          <color theme="4"/>
        </bottom>
        <vertical/>
        <horizontal/>
      </border>
    </dxf>
    <dxf>
      <font>
        <color theme="1"/>
      </font>
      <border diagonalUp="0" diagonalDown="0">
        <left/>
        <right/>
        <top/>
        <bottom/>
        <vertical/>
        <horizontal/>
      </border>
    </dxf>
  </dxfs>
  <tableStyles count="2" defaultTableStyle="TableStyleMedium2" defaultPivotStyle="PivotStyleLight16">
    <tableStyle name="Compact" pivot="0" table="0" count="10" xr9:uid="{A79215E7-B8ED-444C-997C-6C1EE018897D}">
      <tableStyleElement type="wholeTable" dxfId="66"/>
      <tableStyleElement type="headerRow" dxfId="65"/>
    </tableStyle>
    <tableStyle name="Compactsa" pivot="0" table="0" count="10" xr9:uid="{5FC21921-1F3B-4171-A59B-BD143078ACE0}">
      <tableStyleElement type="wholeTable" dxfId="64"/>
      <tableStyleElement type="headerRow" dxfId="63"/>
    </tableStyle>
  </tableStyle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Compactsa">
        <x14:slicerStyle name="Compact">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Compactsa">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heetMetadata" Target="metadata.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00B050"/>
                </a:solidFill>
                <a:latin typeface="+mn-lt"/>
                <a:ea typeface="+mn-ea"/>
                <a:cs typeface="+mn-cs"/>
              </a:defRPr>
            </a:pPr>
            <a:r>
              <a:rPr lang="en-GB">
                <a:solidFill>
                  <a:srgbClr val="00B050"/>
                </a:solidFill>
              </a:rPr>
              <a:t>Revenue</a:t>
            </a:r>
            <a:r>
              <a:rPr lang="en-GB" baseline="0">
                <a:solidFill>
                  <a:srgbClr val="00B050"/>
                </a:solidFill>
              </a:rPr>
              <a:t> Percentage</a:t>
            </a:r>
            <a:endParaRPr lang="en-GB">
              <a:solidFill>
                <a:srgbClr val="00B05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00B050"/>
              </a:solidFill>
              <a:latin typeface="+mn-lt"/>
              <a:ea typeface="+mn-ea"/>
              <a:cs typeface="+mn-cs"/>
            </a:defRPr>
          </a:pPr>
          <a:endParaRPr lang="en-GB"/>
        </a:p>
      </c:txPr>
    </c:title>
    <c:autoTitleDeleted val="0"/>
    <c:plotArea>
      <c:layout/>
      <c:doughnutChart>
        <c:varyColors val="1"/>
        <c:ser>
          <c:idx val="0"/>
          <c:order val="0"/>
          <c:dPt>
            <c:idx val="0"/>
            <c:bubble3D val="0"/>
            <c:spPr>
              <a:solidFill>
                <a:schemeClr val="accent6">
                  <a:lumMod val="20000"/>
                  <a:lumOff val="80000"/>
                </a:schemeClr>
              </a:solidFill>
              <a:ln w="19050">
                <a:solidFill>
                  <a:schemeClr val="lt1"/>
                </a:solidFill>
              </a:ln>
              <a:effectLst/>
            </c:spPr>
            <c:extLst>
              <c:ext xmlns:c16="http://schemas.microsoft.com/office/drawing/2014/chart" uri="{C3380CC4-5D6E-409C-BE32-E72D297353CC}">
                <c16:uniqueId val="{00000001-165F-4DE5-B0F1-6779604173D7}"/>
              </c:ext>
            </c:extLst>
          </c:dPt>
          <c:dPt>
            <c:idx val="1"/>
            <c:bubble3D val="0"/>
            <c:spPr>
              <a:solidFill>
                <a:srgbClr val="00B050"/>
              </a:solidFill>
              <a:ln w="19050">
                <a:solidFill>
                  <a:schemeClr val="lt1"/>
                </a:solidFill>
              </a:ln>
              <a:effectLst/>
            </c:spPr>
            <c:extLst>
              <c:ext xmlns:c16="http://schemas.microsoft.com/office/drawing/2014/chart" uri="{C3380CC4-5D6E-409C-BE32-E72D297353CC}">
                <c16:uniqueId val="{00000003-165F-4DE5-B0F1-6779604173D7}"/>
              </c:ext>
            </c:extLst>
          </c:dPt>
          <c:dPt>
            <c:idx val="2"/>
            <c:bubble3D val="0"/>
            <c:spPr>
              <a:noFill/>
              <a:ln w="19050">
                <a:solidFill>
                  <a:schemeClr val="lt1"/>
                </a:solidFill>
              </a:ln>
              <a:effectLst/>
            </c:spPr>
            <c:extLst>
              <c:ext xmlns:c16="http://schemas.microsoft.com/office/drawing/2014/chart" uri="{C3380CC4-5D6E-409C-BE32-E72D297353CC}">
                <c16:uniqueId val="{00000005-165F-4DE5-B0F1-6779604173D7}"/>
              </c:ext>
            </c:extLst>
          </c:dPt>
          <c:val>
            <c:numRef>
              <c:f>Pivot!$AG$10:$AI$10</c:f>
              <c:numCache>
                <c:formatCode>0%</c:formatCode>
                <c:ptCount val="3"/>
                <c:pt idx="0">
                  <c:v>0.54482758620689653</c:v>
                </c:pt>
                <c:pt idx="1">
                  <c:v>0.45517241379310347</c:v>
                </c:pt>
                <c:pt idx="2">
                  <c:v>1</c:v>
                </c:pt>
              </c:numCache>
            </c:numRef>
          </c:val>
          <c:extLst>
            <c:ext xmlns:c16="http://schemas.microsoft.com/office/drawing/2014/chart" uri="{C3380CC4-5D6E-409C-BE32-E72D297353CC}">
              <c16:uniqueId val="{00000006-165F-4DE5-B0F1-6779604173D7}"/>
            </c:ext>
          </c:extLst>
        </c:ser>
        <c:dLbls>
          <c:showLegendKey val="0"/>
          <c:showVal val="0"/>
          <c:showCatName val="0"/>
          <c:showSerName val="0"/>
          <c:showPercent val="0"/>
          <c:showBubbleSize val="0"/>
          <c:showLeaderLines val="1"/>
        </c:dLbls>
        <c:firstSliceAng val="271"/>
        <c:holeSize val="5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solidFill>
                  <a:schemeClr val="accent2"/>
                </a:solidFill>
              </a:rPr>
              <a:t>Variance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explosion val="2"/>
          <c:dPt>
            <c:idx val="0"/>
            <c:bubble3D val="0"/>
            <c:spPr>
              <a:solidFill>
                <a:schemeClr val="accent2"/>
              </a:solidFill>
              <a:ln w="19050">
                <a:solidFill>
                  <a:schemeClr val="lt1"/>
                </a:solidFill>
              </a:ln>
              <a:effectLst/>
            </c:spPr>
            <c:extLst>
              <c:ext xmlns:c16="http://schemas.microsoft.com/office/drawing/2014/chart" uri="{C3380CC4-5D6E-409C-BE32-E72D297353CC}">
                <c16:uniqueId val="{00000001-0E35-441D-A426-BB06B1BF7817}"/>
              </c:ext>
            </c:extLst>
          </c:dPt>
          <c:dPt>
            <c:idx val="1"/>
            <c:bubble3D val="0"/>
            <c:spPr>
              <a:solidFill>
                <a:schemeClr val="accent2">
                  <a:lumMod val="20000"/>
                  <a:lumOff val="80000"/>
                </a:schemeClr>
              </a:solidFill>
              <a:ln w="19050">
                <a:solidFill>
                  <a:schemeClr val="lt1"/>
                </a:solidFill>
              </a:ln>
              <a:effectLst/>
            </c:spPr>
            <c:extLst>
              <c:ext xmlns:c16="http://schemas.microsoft.com/office/drawing/2014/chart" uri="{C3380CC4-5D6E-409C-BE32-E72D297353CC}">
                <c16:uniqueId val="{00000003-0E35-441D-A426-BB06B1BF7817}"/>
              </c:ext>
            </c:extLst>
          </c:dPt>
          <c:dPt>
            <c:idx val="2"/>
            <c:bubble3D val="0"/>
            <c:spPr>
              <a:solidFill>
                <a:schemeClr val="bg1"/>
              </a:solidFill>
              <a:ln w="19050">
                <a:solidFill>
                  <a:schemeClr val="lt1"/>
                </a:solidFill>
              </a:ln>
              <a:effectLst/>
            </c:spPr>
            <c:extLst>
              <c:ext xmlns:c16="http://schemas.microsoft.com/office/drawing/2014/chart" uri="{C3380CC4-5D6E-409C-BE32-E72D297353CC}">
                <c16:uniqueId val="{00000005-0E35-441D-A426-BB06B1BF7817}"/>
              </c:ext>
            </c:extLst>
          </c:dPt>
          <c:val>
            <c:numRef>
              <c:f>Pivot!$AG$11:$AI$11</c:f>
              <c:numCache>
                <c:formatCode>0%</c:formatCode>
                <c:ptCount val="3"/>
                <c:pt idx="0">
                  <c:v>0.83544303797468356</c:v>
                </c:pt>
                <c:pt idx="1">
                  <c:v>0.16455696202531644</c:v>
                </c:pt>
                <c:pt idx="2">
                  <c:v>1</c:v>
                </c:pt>
              </c:numCache>
            </c:numRef>
          </c:val>
          <c:extLst>
            <c:ext xmlns:c16="http://schemas.microsoft.com/office/drawing/2014/chart" uri="{C3380CC4-5D6E-409C-BE32-E72D297353CC}">
              <c16:uniqueId val="{00000006-0E35-441D-A426-BB06B1BF7817}"/>
            </c:ext>
          </c:extLst>
        </c:ser>
        <c:dLbls>
          <c:showLegendKey val="0"/>
          <c:showVal val="0"/>
          <c:showCatName val="0"/>
          <c:showSerName val="0"/>
          <c:showPercent val="0"/>
          <c:showBubbleSize val="0"/>
          <c:showLeaderLines val="1"/>
        </c:dLbls>
        <c:firstSliceAng val="270"/>
        <c:holeSize val="5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[InventoryManagementApplication.xlsm]Pivot!PivotTable10</c:name>
    <c:fmtId val="15"/>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50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6">
              <a:lumMod val="75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Pivot!$W$3</c:f>
              <c:strCache>
                <c:ptCount val="1"/>
                <c:pt idx="0">
                  <c:v>Sum of Sales value</c:v>
                </c:pt>
              </c:strCache>
            </c:strRef>
          </c:tx>
          <c:spPr>
            <a:solidFill>
              <a:schemeClr val="accent6">
                <a:lumMod val="50000"/>
              </a:schemeClr>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Pivot!$V$4:$V$9</c:f>
              <c:strCache>
                <c:ptCount val="5"/>
                <c:pt idx="0">
                  <c:v>CREAM 0</c:v>
                </c:pt>
                <c:pt idx="1">
                  <c:v>RC COLA</c:v>
                </c:pt>
                <c:pt idx="2">
                  <c:v>BEAR BRAND</c:v>
                </c:pt>
                <c:pt idx="4">
                  <c:v>(blank)</c:v>
                </c:pt>
              </c:strCache>
            </c:strRef>
          </c:cat>
          <c:val>
            <c:numRef>
              <c:f>Pivot!$W$4:$W$9</c:f>
              <c:numCache>
                <c:formatCode>_-[$PHP]\ * #,##0.00_-;\-[$PHP]\ * #,##0.00_-;_-[$PHP]\ * "-"??_-;_-@_-</c:formatCode>
                <c:ptCount val="5"/>
                <c:pt idx="0">
                  <c:v>3000</c:v>
                </c:pt>
                <c:pt idx="1">
                  <c:v>1500</c:v>
                </c:pt>
                <c:pt idx="2">
                  <c:v>240</c:v>
                </c:pt>
                <c:pt idx="3">
                  <c:v>0</c:v>
                </c:pt>
              </c:numCache>
            </c:numRef>
          </c:val>
          <c:extLst>
            <c:ext xmlns:c16="http://schemas.microsoft.com/office/drawing/2014/chart" uri="{C3380CC4-5D6E-409C-BE32-E72D297353CC}">
              <c16:uniqueId val="{00000000-3C52-4093-A459-6162C7F23FFC}"/>
            </c:ext>
          </c:extLst>
        </c:ser>
        <c:ser>
          <c:idx val="1"/>
          <c:order val="1"/>
          <c:tx>
            <c:strRef>
              <c:f>Pivot!$X$3</c:f>
              <c:strCache>
                <c:ptCount val="1"/>
                <c:pt idx="0">
                  <c:v>Sum of Profit</c:v>
                </c:pt>
              </c:strCache>
            </c:strRef>
          </c:tx>
          <c:spPr>
            <a:solidFill>
              <a:schemeClr val="accent6">
                <a:lumMod val="60000"/>
                <a:lumOff val="40000"/>
              </a:schemeClr>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Pivot!$V$4:$V$9</c:f>
              <c:strCache>
                <c:ptCount val="5"/>
                <c:pt idx="0">
                  <c:v>CREAM 0</c:v>
                </c:pt>
                <c:pt idx="1">
                  <c:v>RC COLA</c:v>
                </c:pt>
                <c:pt idx="2">
                  <c:v>BEAR BRAND</c:v>
                </c:pt>
                <c:pt idx="4">
                  <c:v>(blank)</c:v>
                </c:pt>
              </c:strCache>
            </c:strRef>
          </c:cat>
          <c:val>
            <c:numRef>
              <c:f>Pivot!$X$4:$X$9</c:f>
              <c:numCache>
                <c:formatCode>_-[$PHP]\ * #,##0.00_-;\-[$PHP]\ * #,##0.00_-;_-[$PHP]\ * "-"??_-;_-@_-</c:formatCode>
                <c:ptCount val="5"/>
                <c:pt idx="0">
                  <c:v>750</c:v>
                </c:pt>
                <c:pt idx="1">
                  <c:v>500</c:v>
                </c:pt>
                <c:pt idx="2">
                  <c:v>60</c:v>
                </c:pt>
                <c:pt idx="3">
                  <c:v>0</c:v>
                </c:pt>
              </c:numCache>
            </c:numRef>
          </c:val>
          <c:extLst>
            <c:ext xmlns:c16="http://schemas.microsoft.com/office/drawing/2014/chart" uri="{C3380CC4-5D6E-409C-BE32-E72D297353CC}">
              <c16:uniqueId val="{00000001-3C52-4093-A459-6162C7F23FFC}"/>
            </c:ext>
          </c:extLst>
        </c:ser>
        <c:ser>
          <c:idx val="2"/>
          <c:order val="2"/>
          <c:tx>
            <c:strRef>
              <c:f>Pivot!$Y$3</c:f>
              <c:strCache>
                <c:ptCount val="1"/>
                <c:pt idx="0">
                  <c:v>Sum of Budget</c:v>
                </c:pt>
              </c:strCache>
            </c:strRef>
          </c:tx>
          <c:spPr>
            <a:solidFill>
              <a:schemeClr val="accent6">
                <a:lumMod val="75000"/>
              </a:schemeClr>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Pivot!$V$4:$V$9</c:f>
              <c:strCache>
                <c:ptCount val="5"/>
                <c:pt idx="0">
                  <c:v>CREAM 0</c:v>
                </c:pt>
                <c:pt idx="1">
                  <c:v>RC COLA</c:v>
                </c:pt>
                <c:pt idx="2">
                  <c:v>BEAR BRAND</c:v>
                </c:pt>
                <c:pt idx="4">
                  <c:v>(blank)</c:v>
                </c:pt>
              </c:strCache>
            </c:strRef>
          </c:cat>
          <c:val>
            <c:numRef>
              <c:f>Pivot!$Y$4:$Y$9</c:f>
              <c:numCache>
                <c:formatCode>_-[$PHP]\ * #,##0.00_-;\-[$PHP]\ * #,##0.00_-;_-[$PHP]\ * "-"??_-;_-@_-</c:formatCode>
                <c:ptCount val="5"/>
                <c:pt idx="0">
                  <c:v>2700</c:v>
                </c:pt>
                <c:pt idx="1">
                  <c:v>3000</c:v>
                </c:pt>
                <c:pt idx="2">
                  <c:v>3000</c:v>
                </c:pt>
                <c:pt idx="3">
                  <c:v>0</c:v>
                </c:pt>
              </c:numCache>
            </c:numRef>
          </c:val>
          <c:extLst>
            <c:ext xmlns:c16="http://schemas.microsoft.com/office/drawing/2014/chart" uri="{C3380CC4-5D6E-409C-BE32-E72D297353CC}">
              <c16:uniqueId val="{00000002-3C52-4093-A459-6162C7F23FFC}"/>
            </c:ext>
          </c:extLst>
        </c:ser>
        <c:dLbls>
          <c:showLegendKey val="0"/>
          <c:showVal val="1"/>
          <c:showCatName val="0"/>
          <c:showSerName val="0"/>
          <c:showPercent val="0"/>
          <c:showBubbleSize val="0"/>
        </c:dLbls>
        <c:gapWidth val="150"/>
        <c:shape val="box"/>
        <c:axId val="51967263"/>
        <c:axId val="51967743"/>
        <c:axId val="0"/>
      </c:bar3DChart>
      <c:catAx>
        <c:axId val="5196726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67743"/>
        <c:crosses val="autoZero"/>
        <c:auto val="1"/>
        <c:lblAlgn val="ctr"/>
        <c:lblOffset val="100"/>
        <c:noMultiLvlLbl val="0"/>
      </c:catAx>
      <c:valAx>
        <c:axId val="51967743"/>
        <c:scaling>
          <c:orientation val="minMax"/>
        </c:scaling>
        <c:delete val="1"/>
        <c:axPos val="l"/>
        <c:majorGridlines>
          <c:spPr>
            <a:ln w="9525" cap="flat" cmpd="sng" algn="ctr">
              <a:solidFill>
                <a:schemeClr val="tx1">
                  <a:lumMod val="15000"/>
                  <a:lumOff val="85000"/>
                </a:schemeClr>
              </a:solidFill>
              <a:round/>
            </a:ln>
            <a:effectLst/>
          </c:spPr>
        </c:majorGridlines>
        <c:numFmt formatCode="_-[$PHP]\ * #,##0.00_-;\-[$PHP]\ * #,##0.00_-;_-[$PHP]\ * &quot;-&quot;??_-;_-@_-" sourceLinked="1"/>
        <c:majorTickMark val="none"/>
        <c:minorTickMark val="none"/>
        <c:tickLblPos val="nextTo"/>
        <c:crossAx val="5196726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Summary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0"/>
    </c:view3D>
    <c:floor>
      <c:thickness val="0"/>
      <c:spPr>
        <a:noFill/>
        <a:ln w="9525" cap="flat" cmpd="sng" algn="ctr">
          <a:solidFill>
            <a:schemeClr val="tx1">
              <a:lumMod val="15000"/>
              <a:lumOff val="85000"/>
            </a:schemeClr>
          </a:solidFill>
          <a:round/>
        </a:ln>
        <a:effectLst/>
        <a:sp3d contourW="9525">
          <a:contourClr>
            <a:schemeClr val="tx1">
              <a:lumMod val="15000"/>
              <a:lumOff val="85000"/>
            </a:schemeClr>
          </a:contourClr>
        </a:sp3d>
      </c:spPr>
    </c:floor>
    <c:sideWall>
      <c:thickness val="0"/>
      <c:spPr>
        <a:noFill/>
        <a:ln>
          <a:noFill/>
        </a:ln>
        <a:effectLst/>
        <a:sp3d/>
      </c:spPr>
    </c:sideWall>
    <c:backWall>
      <c:thickness val="0"/>
      <c:spPr>
        <a:noFill/>
        <a:ln>
          <a:noFill/>
        </a:ln>
        <a:effectLst/>
        <a:sp3d/>
      </c:spPr>
    </c:backWall>
    <c:plotArea>
      <c:layout/>
      <c:area3DChart>
        <c:grouping val="stacked"/>
        <c:varyColors val="0"/>
        <c:ser>
          <c:idx val="0"/>
          <c:order val="0"/>
          <c:spPr>
            <a:solidFill>
              <a:schemeClr val="accent4">
                <a:lumMod val="60000"/>
                <a:lumOff val="40000"/>
              </a:schemeClr>
            </a:solidFill>
            <a:ln>
              <a:noFill/>
            </a:ln>
            <a:effectLst/>
            <a:sp3d/>
          </c:spPr>
          <c:cat>
            <c:strRef>
              <c:f>Pivot!$AF$6:$AF$8</c:f>
              <c:strCache>
                <c:ptCount val="3"/>
                <c:pt idx="0">
                  <c:v>Total Revenue:</c:v>
                </c:pt>
                <c:pt idx="1">
                  <c:v>Total Profit:</c:v>
                </c:pt>
                <c:pt idx="2">
                  <c:v>Total BudgetCost:</c:v>
                </c:pt>
              </c:strCache>
            </c:strRef>
          </c:cat>
          <c:val>
            <c:numRef>
              <c:f>Pivot!$AG$6:$AG$8</c:f>
              <c:numCache>
                <c:formatCode>_-[$PHP]\ * #,##0.00_-;\-[$PHP]\ * #,##0.00_-;_-[$PHP]\ * "-"??_-;_-@_-</c:formatCode>
                <c:ptCount val="3"/>
                <c:pt idx="0">
                  <c:v>4740</c:v>
                </c:pt>
                <c:pt idx="1">
                  <c:v>1310</c:v>
                </c:pt>
                <c:pt idx="2">
                  <c:v>8700</c:v>
                </c:pt>
              </c:numCache>
            </c:numRef>
          </c:val>
          <c:extLst>
            <c:ext xmlns:c16="http://schemas.microsoft.com/office/drawing/2014/chart" uri="{C3380CC4-5D6E-409C-BE32-E72D297353CC}">
              <c16:uniqueId val="{00000000-CA10-4CAC-AB36-EBA188F20897}"/>
            </c:ext>
          </c:extLst>
        </c:ser>
        <c:dLbls>
          <c:showLegendKey val="0"/>
          <c:showVal val="0"/>
          <c:showCatName val="0"/>
          <c:showSerName val="0"/>
          <c:showPercent val="0"/>
          <c:showBubbleSize val="0"/>
        </c:dLbls>
        <c:axId val="122367679"/>
        <c:axId val="122373439"/>
        <c:axId val="0"/>
      </c:area3DChart>
      <c:catAx>
        <c:axId val="12236767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373439"/>
        <c:crosses val="autoZero"/>
        <c:auto val="1"/>
        <c:lblAlgn val="ctr"/>
        <c:lblOffset val="100"/>
        <c:noMultiLvlLbl val="0"/>
      </c:catAx>
      <c:valAx>
        <c:axId val="122373439"/>
        <c:scaling>
          <c:orientation val="minMax"/>
        </c:scaling>
        <c:delete val="0"/>
        <c:axPos val="l"/>
        <c:majorGridlines>
          <c:spPr>
            <a:ln w="9525" cap="flat" cmpd="sng" algn="ctr">
              <a:solidFill>
                <a:schemeClr val="tx1">
                  <a:lumMod val="15000"/>
                  <a:lumOff val="85000"/>
                </a:schemeClr>
              </a:solidFill>
              <a:round/>
            </a:ln>
            <a:effectLst/>
          </c:spPr>
        </c:majorGridlines>
        <c:numFmt formatCode="_-[$PHP]\ * #,##0.00_-;\-[$PHP]\ * #,##0.00_-;_-[$PHP]\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367679"/>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solidFill>
                  <a:schemeClr val="accent1">
                    <a:lumMod val="75000"/>
                  </a:schemeClr>
                </a:solidFill>
              </a:rPr>
              <a:t>Profit Margin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dPt>
            <c:idx val="0"/>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01-0612-4440-81F1-DC27A714E3C9}"/>
              </c:ext>
            </c:extLst>
          </c:dPt>
          <c:dPt>
            <c:idx val="1"/>
            <c:bubble3D val="0"/>
            <c:spPr>
              <a:solidFill>
                <a:schemeClr val="accent5">
                  <a:lumMod val="40000"/>
                  <a:lumOff val="60000"/>
                </a:schemeClr>
              </a:solidFill>
              <a:ln w="19050">
                <a:solidFill>
                  <a:schemeClr val="lt1"/>
                </a:solidFill>
              </a:ln>
              <a:effectLst/>
            </c:spPr>
            <c:extLst>
              <c:ext xmlns:c16="http://schemas.microsoft.com/office/drawing/2014/chart" uri="{C3380CC4-5D6E-409C-BE32-E72D297353CC}">
                <c16:uniqueId val="{00000003-0612-4440-81F1-DC27A714E3C9}"/>
              </c:ext>
            </c:extLst>
          </c:dPt>
          <c:dPt>
            <c:idx val="2"/>
            <c:bubble3D val="0"/>
            <c:spPr>
              <a:solidFill>
                <a:schemeClr val="bg1"/>
              </a:solidFill>
              <a:ln w="19050">
                <a:solidFill>
                  <a:schemeClr val="lt1"/>
                </a:solidFill>
              </a:ln>
              <a:effectLst/>
            </c:spPr>
            <c:extLst>
              <c:ext xmlns:c16="http://schemas.microsoft.com/office/drawing/2014/chart" uri="{C3380CC4-5D6E-409C-BE32-E72D297353CC}">
                <c16:uniqueId val="{00000005-0612-4440-81F1-DC27A714E3C9}"/>
              </c:ext>
            </c:extLst>
          </c:dPt>
          <c:val>
            <c:numRef>
              <c:f>Pivot!$AG$12:$AI$12</c:f>
              <c:numCache>
                <c:formatCode>0%</c:formatCode>
                <c:ptCount val="3"/>
                <c:pt idx="0">
                  <c:v>0.45517241379310347</c:v>
                </c:pt>
                <c:pt idx="1">
                  <c:v>0.54482758620689653</c:v>
                </c:pt>
                <c:pt idx="2">
                  <c:v>1</c:v>
                </c:pt>
              </c:numCache>
            </c:numRef>
          </c:val>
          <c:extLst>
            <c:ext xmlns:c16="http://schemas.microsoft.com/office/drawing/2014/chart" uri="{C3380CC4-5D6E-409C-BE32-E72D297353CC}">
              <c16:uniqueId val="{00000006-0612-4440-81F1-DC27A714E3C9}"/>
            </c:ext>
          </c:extLst>
        </c:ser>
        <c:dLbls>
          <c:showLegendKey val="0"/>
          <c:showVal val="0"/>
          <c:showCatName val="0"/>
          <c:showSerName val="0"/>
          <c:showPercent val="0"/>
          <c:showBubbleSize val="0"/>
          <c:showLeaderLines val="1"/>
        </c:dLbls>
        <c:firstSliceAng val="270"/>
        <c:holeSize val="5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[InventoryManagementApplication.xlsm]Pivot!PivotTable1</c:name>
    <c:fmtId val="4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5">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5">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Pivot!$B$3</c:f>
              <c:strCache>
                <c:ptCount val="1"/>
                <c:pt idx="0">
                  <c:v>Stock Qty</c:v>
                </c:pt>
              </c:strCache>
            </c:strRef>
          </c:tx>
          <c:spPr>
            <a:solidFill>
              <a:schemeClr val="accent5">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Pivot!$A$4:$A$9</c:f>
              <c:strCache>
                <c:ptCount val="5"/>
                <c:pt idx="0">
                  <c:v>1001</c:v>
                </c:pt>
                <c:pt idx="1">
                  <c:v>1002</c:v>
                </c:pt>
                <c:pt idx="2">
                  <c:v>1003</c:v>
                </c:pt>
                <c:pt idx="4">
                  <c:v>(blank)</c:v>
                </c:pt>
              </c:strCache>
            </c:strRef>
          </c:cat>
          <c:val>
            <c:numRef>
              <c:f>Pivot!$B$4:$B$9</c:f>
              <c:numCache>
                <c:formatCode>General</c:formatCode>
                <c:ptCount val="5"/>
                <c:pt idx="0">
                  <c:v>200</c:v>
                </c:pt>
                <c:pt idx="1">
                  <c:v>150</c:v>
                </c:pt>
                <c:pt idx="2">
                  <c:v>300</c:v>
                </c:pt>
                <c:pt idx="3">
                  <c:v>0</c:v>
                </c:pt>
              </c:numCache>
            </c:numRef>
          </c:val>
          <c:extLst>
            <c:ext xmlns:c16="http://schemas.microsoft.com/office/drawing/2014/chart" uri="{C3380CC4-5D6E-409C-BE32-E72D297353CC}">
              <c16:uniqueId val="{00000000-A2D9-4D3C-9D92-59B12B3E5695}"/>
            </c:ext>
          </c:extLst>
        </c:ser>
        <c:ser>
          <c:idx val="1"/>
          <c:order val="1"/>
          <c:tx>
            <c:strRef>
              <c:f>Pivot!$C$3</c:f>
              <c:strCache>
                <c:ptCount val="1"/>
                <c:pt idx="0">
                  <c:v>Sum of Sales Qty</c:v>
                </c:pt>
              </c:strCache>
            </c:strRef>
          </c:tx>
          <c:spPr>
            <a:solidFill>
              <a:schemeClr val="accent5">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Pivot!$A$4:$A$9</c:f>
              <c:strCache>
                <c:ptCount val="5"/>
                <c:pt idx="0">
                  <c:v>1001</c:v>
                </c:pt>
                <c:pt idx="1">
                  <c:v>1002</c:v>
                </c:pt>
                <c:pt idx="2">
                  <c:v>1003</c:v>
                </c:pt>
                <c:pt idx="4">
                  <c:v>(blank)</c:v>
                </c:pt>
              </c:strCache>
            </c:strRef>
          </c:cat>
          <c:val>
            <c:numRef>
              <c:f>Pivot!$C$4:$C$9</c:f>
              <c:numCache>
                <c:formatCode>General</c:formatCode>
                <c:ptCount val="5"/>
                <c:pt idx="0">
                  <c:v>12</c:v>
                </c:pt>
                <c:pt idx="1">
                  <c:v>50</c:v>
                </c:pt>
                <c:pt idx="2">
                  <c:v>250</c:v>
                </c:pt>
                <c:pt idx="3">
                  <c:v>0</c:v>
                </c:pt>
              </c:numCache>
            </c:numRef>
          </c:val>
          <c:extLst>
            <c:ext xmlns:c16="http://schemas.microsoft.com/office/drawing/2014/chart" uri="{C3380CC4-5D6E-409C-BE32-E72D297353CC}">
              <c16:uniqueId val="{00000001-A2D9-4D3C-9D92-59B12B3E5695}"/>
            </c:ext>
          </c:extLst>
        </c:ser>
        <c:ser>
          <c:idx val="2"/>
          <c:order val="2"/>
          <c:tx>
            <c:strRef>
              <c:f>Pivot!$D$3</c:f>
              <c:strCache>
                <c:ptCount val="1"/>
                <c:pt idx="0">
                  <c:v>Sum of Stocks On Hand</c:v>
                </c:pt>
              </c:strCache>
            </c:strRef>
          </c:tx>
          <c:spPr>
            <a:solidFill>
              <a:schemeClr val="accent5">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Pivot!$A$4:$A$9</c:f>
              <c:strCache>
                <c:ptCount val="5"/>
                <c:pt idx="0">
                  <c:v>1001</c:v>
                </c:pt>
                <c:pt idx="1">
                  <c:v>1002</c:v>
                </c:pt>
                <c:pt idx="2">
                  <c:v>1003</c:v>
                </c:pt>
                <c:pt idx="4">
                  <c:v>(blank)</c:v>
                </c:pt>
              </c:strCache>
            </c:strRef>
          </c:cat>
          <c:val>
            <c:numRef>
              <c:f>Pivot!$D$4:$D$9</c:f>
              <c:numCache>
                <c:formatCode>General</c:formatCode>
                <c:ptCount val="5"/>
                <c:pt idx="0">
                  <c:v>188</c:v>
                </c:pt>
                <c:pt idx="1">
                  <c:v>100</c:v>
                </c:pt>
                <c:pt idx="2">
                  <c:v>50</c:v>
                </c:pt>
                <c:pt idx="3">
                  <c:v>0</c:v>
                </c:pt>
              </c:numCache>
            </c:numRef>
          </c:val>
          <c:extLst>
            <c:ext xmlns:c16="http://schemas.microsoft.com/office/drawing/2014/chart" uri="{C3380CC4-5D6E-409C-BE32-E72D297353CC}">
              <c16:uniqueId val="{00000002-A2D9-4D3C-9D92-59B12B3E5695}"/>
            </c:ext>
          </c:extLst>
        </c:ser>
        <c:dLbls>
          <c:dLblPos val="inEnd"/>
          <c:showLegendKey val="0"/>
          <c:showVal val="1"/>
          <c:showCatName val="0"/>
          <c:showSerName val="0"/>
          <c:showPercent val="0"/>
          <c:showBubbleSize val="0"/>
        </c:dLbls>
        <c:gapWidth val="150"/>
        <c:overlap val="100"/>
        <c:axId val="40188880"/>
        <c:axId val="40189360"/>
      </c:barChart>
      <c:catAx>
        <c:axId val="4018888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189360"/>
        <c:crosses val="autoZero"/>
        <c:auto val="1"/>
        <c:lblAlgn val="ctr"/>
        <c:lblOffset val="100"/>
        <c:noMultiLvlLbl val="0"/>
      </c:catAx>
      <c:valAx>
        <c:axId val="40189360"/>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401888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4</xdr:col>
      <xdr:colOff>586740</xdr:colOff>
      <xdr:row>4</xdr:row>
      <xdr:rowOff>144780</xdr:rowOff>
    </xdr:from>
    <xdr:to>
      <xdr:col>18</xdr:col>
      <xdr:colOff>495300</xdr:colOff>
      <xdr:row>15</xdr:row>
      <xdr:rowOff>76200</xdr:rowOff>
    </xdr:to>
    <xdr:sp macro="[0]!RectangleRoundedCorners1_Click" textlink="">
      <xdr:nvSpPr>
        <xdr:cNvPr id="2" name="Rectangle: Rounded Corners 1">
          <a:extLst>
            <a:ext uri="{FF2B5EF4-FFF2-40B4-BE49-F238E27FC236}">
              <a16:creationId xmlns:a16="http://schemas.microsoft.com/office/drawing/2014/main" id="{8A2D3718-3481-F8FF-BC5D-B75AD0BA17F1}"/>
            </a:ext>
          </a:extLst>
        </xdr:cNvPr>
        <xdr:cNvSpPr/>
      </xdr:nvSpPr>
      <xdr:spPr>
        <a:xfrm>
          <a:off x="3025140" y="876300"/>
          <a:ext cx="8442960" cy="1943100"/>
        </a:xfrm>
        <a:prstGeom prst="roundRect">
          <a:avLst>
            <a:gd name="adj" fmla="val 29608"/>
          </a:avLst>
        </a:prstGeom>
        <a:solidFill>
          <a:schemeClr val="tx1">
            <a:lumMod val="95000"/>
            <a:lumOff val="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800">
              <a:latin typeface="Impact" panose="020B0806030902050204" pitchFamily="34" charset="0"/>
            </a:rPr>
            <a:t>INVENTORY</a:t>
          </a:r>
          <a:r>
            <a:rPr lang="en-GB" sz="8800" baseline="0">
              <a:latin typeface="Impact" panose="020B0806030902050204" pitchFamily="34" charset="0"/>
            </a:rPr>
            <a:t> FORM</a:t>
          </a:r>
          <a:endParaRPr lang="en-GB" sz="8800">
            <a:latin typeface="Impact" panose="020B080603090205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149905</xdr:rowOff>
    </xdr:from>
    <xdr:to>
      <xdr:col>7</xdr:col>
      <xdr:colOff>619125</xdr:colOff>
      <xdr:row>21</xdr:row>
      <xdr:rowOff>190274</xdr:rowOff>
    </xdr:to>
    <xdr:graphicFrame macro="">
      <xdr:nvGraphicFramePr>
        <xdr:cNvPr id="2" name="Chart 1">
          <a:extLst>
            <a:ext uri="{FF2B5EF4-FFF2-40B4-BE49-F238E27FC236}">
              <a16:creationId xmlns:a16="http://schemas.microsoft.com/office/drawing/2014/main" id="{D4050406-E9A0-45AB-8FDE-F9ADBFD2A3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533400</xdr:colOff>
      <xdr:row>0</xdr:row>
      <xdr:rowOff>104775</xdr:rowOff>
    </xdr:from>
    <xdr:to>
      <xdr:col>14</xdr:col>
      <xdr:colOff>419100</xdr:colOff>
      <xdr:row>6</xdr:row>
      <xdr:rowOff>0</xdr:rowOff>
    </xdr:to>
    <xdr:sp macro="" textlink="">
      <xdr:nvSpPr>
        <xdr:cNvPr id="3" name="Rectangle: Rounded Corners 2">
          <a:extLst>
            <a:ext uri="{FF2B5EF4-FFF2-40B4-BE49-F238E27FC236}">
              <a16:creationId xmlns:a16="http://schemas.microsoft.com/office/drawing/2014/main" id="{84A02EEE-CFAC-44FE-85F3-4F05622D371F}"/>
            </a:ext>
          </a:extLst>
        </xdr:cNvPr>
        <xdr:cNvSpPr/>
      </xdr:nvSpPr>
      <xdr:spPr>
        <a:xfrm>
          <a:off x="1752600" y="104775"/>
          <a:ext cx="12287250" cy="1038225"/>
        </a:xfrm>
        <a:prstGeom prst="roundRect">
          <a:avLst>
            <a:gd name="adj" fmla="val 24050"/>
          </a:avLst>
        </a:prstGeom>
        <a:gradFill flip="none" rotWithShape="1">
          <a:gsLst>
            <a:gs pos="0">
              <a:schemeClr val="accent5">
                <a:lumMod val="50000"/>
                <a:shade val="30000"/>
                <a:satMod val="115000"/>
              </a:schemeClr>
            </a:gs>
            <a:gs pos="50000">
              <a:schemeClr val="accent5">
                <a:lumMod val="50000"/>
                <a:shade val="67500"/>
                <a:satMod val="115000"/>
              </a:schemeClr>
            </a:gs>
            <a:gs pos="100000">
              <a:schemeClr val="accent5">
                <a:lumMod val="50000"/>
                <a:shade val="100000"/>
                <a:satMod val="115000"/>
              </a:schemeClr>
            </a:gs>
          </a:gsLst>
          <a:lin ang="2700000" scaled="1"/>
          <a:tileRect/>
        </a:gradFill>
        <a:ln w="3175">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6000">
              <a:latin typeface="Aptos ExtraBold" panose="020F0502020204030204" pitchFamily="34" charset="0"/>
            </a:rPr>
            <a:t>DASHBOARD</a:t>
          </a:r>
          <a:r>
            <a:rPr lang="en-GB" sz="6000" baseline="0">
              <a:latin typeface="Aptos ExtraBold" panose="020F0502020204030204" pitchFamily="34" charset="0"/>
            </a:rPr>
            <a:t> OVERVIEW</a:t>
          </a:r>
          <a:endParaRPr lang="en-GB" sz="6000">
            <a:latin typeface="Aptos ExtraBold" panose="020F0502020204030204" pitchFamily="34" charset="0"/>
          </a:endParaRPr>
        </a:p>
      </xdr:txBody>
    </xdr:sp>
    <xdr:clientData/>
  </xdr:twoCellAnchor>
  <xdr:twoCellAnchor editAs="oneCell">
    <xdr:from>
      <xdr:col>0</xdr:col>
      <xdr:colOff>57151</xdr:colOff>
      <xdr:row>0</xdr:row>
      <xdr:rowOff>104774</xdr:rowOff>
    </xdr:from>
    <xdr:to>
      <xdr:col>2</xdr:col>
      <xdr:colOff>495301</xdr:colOff>
      <xdr:row>15</xdr:row>
      <xdr:rowOff>34017</xdr:rowOff>
    </xdr:to>
    <mc:AlternateContent xmlns:mc="http://schemas.openxmlformats.org/markup-compatibility/2006" xmlns:a14="http://schemas.microsoft.com/office/drawing/2010/main">
      <mc:Choice Requires="a14">
        <xdr:graphicFrame macro="">
          <xdr:nvGraphicFramePr>
            <xdr:cNvPr id="4" name="Item ID">
              <a:extLst>
                <a:ext uri="{FF2B5EF4-FFF2-40B4-BE49-F238E27FC236}">
                  <a16:creationId xmlns:a16="http://schemas.microsoft.com/office/drawing/2014/main" id="{E64C07F2-92B5-4AE9-A54B-576754DD7197}"/>
                </a:ext>
              </a:extLst>
            </xdr:cNvPr>
            <xdr:cNvGraphicFramePr/>
          </xdr:nvGraphicFramePr>
          <xdr:xfrm>
            <a:off x="0" y="0"/>
            <a:ext cx="0" cy="0"/>
          </xdr:xfrm>
          <a:graphic>
            <a:graphicData uri="http://schemas.microsoft.com/office/drawing/2010/slicer">
              <sle:slicer xmlns:sle="http://schemas.microsoft.com/office/drawing/2010/slicer" name="Item ID"/>
            </a:graphicData>
          </a:graphic>
        </xdr:graphicFrame>
      </mc:Choice>
      <mc:Fallback xmlns="">
        <xdr:sp macro="" textlink="">
          <xdr:nvSpPr>
            <xdr:cNvPr id="0" name=""/>
            <xdr:cNvSpPr>
              <a:spLocks noTextEdit="1"/>
            </xdr:cNvSpPr>
          </xdr:nvSpPr>
          <xdr:spPr>
            <a:xfrm>
              <a:off x="57151" y="104775"/>
              <a:ext cx="1657350" cy="22098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76200</xdr:colOff>
      <xdr:row>15</xdr:row>
      <xdr:rowOff>176439</xdr:rowOff>
    </xdr:from>
    <xdr:to>
      <xdr:col>2</xdr:col>
      <xdr:colOff>514350</xdr:colOff>
      <xdr:row>27</xdr:row>
      <xdr:rowOff>124733</xdr:rowOff>
    </xdr:to>
    <mc:AlternateContent xmlns:mc="http://schemas.openxmlformats.org/markup-compatibility/2006" xmlns:a14="http://schemas.microsoft.com/office/drawing/2010/main">
      <mc:Choice Requires="a14">
        <xdr:graphicFrame macro="">
          <xdr:nvGraphicFramePr>
            <xdr:cNvPr id="5" name="Category">
              <a:extLst>
                <a:ext uri="{FF2B5EF4-FFF2-40B4-BE49-F238E27FC236}">
                  <a16:creationId xmlns:a16="http://schemas.microsoft.com/office/drawing/2014/main" id="{0D3914E3-861A-4E4D-B80C-123350C6D3E4}"/>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76200" y="3067957"/>
              <a:ext cx="1662793" cy="226150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1012372</xdr:colOff>
      <xdr:row>7</xdr:row>
      <xdr:rowOff>78468</xdr:rowOff>
    </xdr:from>
    <xdr:to>
      <xdr:col>10</xdr:col>
      <xdr:colOff>669472</xdr:colOff>
      <xdr:row>22</xdr:row>
      <xdr:rowOff>68943</xdr:rowOff>
    </xdr:to>
    <xdr:graphicFrame macro="">
      <xdr:nvGraphicFramePr>
        <xdr:cNvPr id="6" name="Chart 5">
          <a:extLst>
            <a:ext uri="{FF2B5EF4-FFF2-40B4-BE49-F238E27FC236}">
              <a16:creationId xmlns:a16="http://schemas.microsoft.com/office/drawing/2014/main" id="{16D6C199-245C-4FB7-8A07-A6B920C4E3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160108</xdr:colOff>
      <xdr:row>16</xdr:row>
      <xdr:rowOff>26215</xdr:rowOff>
    </xdr:from>
    <xdr:to>
      <xdr:col>10</xdr:col>
      <xdr:colOff>103180</xdr:colOff>
      <xdr:row>19</xdr:row>
      <xdr:rowOff>133578</xdr:rowOff>
    </xdr:to>
    <xdr:sp macro="" textlink="Pivot!AG14">
      <xdr:nvSpPr>
        <xdr:cNvPr id="7" name="TextBox 6">
          <a:extLst>
            <a:ext uri="{FF2B5EF4-FFF2-40B4-BE49-F238E27FC236}">
              <a16:creationId xmlns:a16="http://schemas.microsoft.com/office/drawing/2014/main" id="{3972C173-441C-42B6-8A6A-AD3AB5B595E1}"/>
            </a:ext>
          </a:extLst>
        </xdr:cNvPr>
        <xdr:cNvSpPr txBox="1"/>
      </xdr:nvSpPr>
      <xdr:spPr>
        <a:xfrm>
          <a:off x="5659662" y="3110501"/>
          <a:ext cx="4115929" cy="6856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1E39A83C-3E4E-4961-BF35-7CEFB12286F0}" type="TxLink">
            <a:rPr lang="en-US" sz="2800" b="0" i="0" u="none" strike="noStrike">
              <a:solidFill>
                <a:schemeClr val="accent2"/>
              </a:solidFill>
              <a:latin typeface="Impact" panose="020B0806030902050204" pitchFamily="34" charset="0"/>
              <a:ea typeface="Calibri"/>
              <a:cs typeface="Calibri"/>
            </a:rPr>
            <a:pPr algn="ctr"/>
            <a:t> PHP 3,960.00 </a:t>
          </a:fld>
          <a:endParaRPr lang="en-GB" sz="19900" b="1">
            <a:solidFill>
              <a:schemeClr val="accent2"/>
            </a:solidFill>
            <a:latin typeface="Impact" panose="020B0806030902050204" pitchFamily="34" charset="0"/>
            <a:cs typeface="Biome Light" panose="020B0303030204020804" pitchFamily="34" charset="0"/>
          </a:endParaRPr>
        </a:p>
      </xdr:txBody>
    </xdr:sp>
    <xdr:clientData/>
  </xdr:twoCellAnchor>
  <xdr:twoCellAnchor>
    <xdr:from>
      <xdr:col>3</xdr:col>
      <xdr:colOff>1047750</xdr:colOff>
      <xdr:row>13</xdr:row>
      <xdr:rowOff>161925</xdr:rowOff>
    </xdr:from>
    <xdr:to>
      <xdr:col>5</xdr:col>
      <xdr:colOff>261757</xdr:colOff>
      <xdr:row>15</xdr:row>
      <xdr:rowOff>155066</xdr:rowOff>
    </xdr:to>
    <xdr:sp macro="" textlink="Pivot!AG10">
      <xdr:nvSpPr>
        <xdr:cNvPr id="8" name="TextBox 7">
          <a:extLst>
            <a:ext uri="{FF2B5EF4-FFF2-40B4-BE49-F238E27FC236}">
              <a16:creationId xmlns:a16="http://schemas.microsoft.com/office/drawing/2014/main" id="{51AD1A70-2DEE-403F-8E41-D245D9DB15BA}"/>
            </a:ext>
          </a:extLst>
        </xdr:cNvPr>
        <xdr:cNvSpPr txBox="1"/>
      </xdr:nvSpPr>
      <xdr:spPr>
        <a:xfrm>
          <a:off x="2876550" y="2638425"/>
          <a:ext cx="1633357"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333A4A0B-2C53-427B-B6B8-459E09DF805E}" type="TxLink">
            <a:rPr lang="en-US" sz="2800" b="0" i="0" u="none" strike="noStrike">
              <a:solidFill>
                <a:srgbClr val="00B050"/>
              </a:solidFill>
              <a:latin typeface="Impact" panose="020B0806030902050204" pitchFamily="34" charset="0"/>
              <a:ea typeface="Calibri"/>
              <a:cs typeface="Calibri"/>
            </a:rPr>
            <a:pPr algn="ctr"/>
            <a:t>54%</a:t>
          </a:fld>
          <a:endParaRPr lang="en-GB" sz="3600" b="0">
            <a:solidFill>
              <a:srgbClr val="00B050"/>
            </a:solidFill>
            <a:latin typeface="Impact" panose="020B0806030902050204" pitchFamily="34" charset="0"/>
          </a:endParaRPr>
        </a:p>
      </xdr:txBody>
    </xdr:sp>
    <xdr:clientData/>
  </xdr:twoCellAnchor>
  <xdr:twoCellAnchor>
    <xdr:from>
      <xdr:col>7</xdr:col>
      <xdr:colOff>283028</xdr:colOff>
      <xdr:row>13</xdr:row>
      <xdr:rowOff>158296</xdr:rowOff>
    </xdr:from>
    <xdr:to>
      <xdr:col>9</xdr:col>
      <xdr:colOff>93935</xdr:colOff>
      <xdr:row>15</xdr:row>
      <xdr:rowOff>151437</xdr:rowOff>
    </xdr:to>
    <xdr:sp macro="" textlink="Pivot!AG11">
      <xdr:nvSpPr>
        <xdr:cNvPr id="9" name="TextBox 8">
          <a:extLst>
            <a:ext uri="{FF2B5EF4-FFF2-40B4-BE49-F238E27FC236}">
              <a16:creationId xmlns:a16="http://schemas.microsoft.com/office/drawing/2014/main" id="{4C2FE210-B7AE-A8F2-96AF-2FF4E41AC427}"/>
            </a:ext>
          </a:extLst>
        </xdr:cNvPr>
        <xdr:cNvSpPr txBox="1"/>
      </xdr:nvSpPr>
      <xdr:spPr>
        <a:xfrm>
          <a:off x="7029903" y="2664278"/>
          <a:ext cx="1636532" cy="3786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96D22935-8D44-4DBC-A98B-74752CBE3691}" type="TxLink">
            <a:rPr lang="en-US" sz="2800" b="0" i="0" u="none" strike="noStrike">
              <a:solidFill>
                <a:schemeClr val="accent2"/>
              </a:solidFill>
              <a:latin typeface="Impact" panose="020B0806030902050204" pitchFamily="34" charset="0"/>
              <a:ea typeface="Calibri"/>
              <a:cs typeface="Calibri"/>
            </a:rPr>
            <a:pPr algn="ctr"/>
            <a:t>84%</a:t>
          </a:fld>
          <a:endParaRPr lang="en-GB" sz="5400" b="0">
            <a:solidFill>
              <a:schemeClr val="accent2"/>
            </a:solidFill>
            <a:latin typeface="Impact" panose="020B0806030902050204" pitchFamily="34" charset="0"/>
          </a:endParaRPr>
        </a:p>
      </xdr:txBody>
    </xdr:sp>
    <xdr:clientData/>
  </xdr:twoCellAnchor>
  <xdr:twoCellAnchor>
    <xdr:from>
      <xdr:col>14</xdr:col>
      <xdr:colOff>487589</xdr:colOff>
      <xdr:row>6</xdr:row>
      <xdr:rowOff>110785</xdr:rowOff>
    </xdr:from>
    <xdr:to>
      <xdr:col>28</xdr:col>
      <xdr:colOff>70302</xdr:colOff>
      <xdr:row>34</xdr:row>
      <xdr:rowOff>79375</xdr:rowOff>
    </xdr:to>
    <xdr:graphicFrame macro="">
      <xdr:nvGraphicFramePr>
        <xdr:cNvPr id="12" name="Chart 11">
          <a:extLst>
            <a:ext uri="{FF2B5EF4-FFF2-40B4-BE49-F238E27FC236}">
              <a16:creationId xmlns:a16="http://schemas.microsoft.com/office/drawing/2014/main" id="{C8E19EB0-B6DB-4132-846A-94242ABC0A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7</xdr:col>
      <xdr:colOff>98086</xdr:colOff>
      <xdr:row>6</xdr:row>
      <xdr:rowOff>34017</xdr:rowOff>
    </xdr:from>
    <xdr:ext cx="2338845" cy="301399"/>
    <xdr:sp macro="" textlink="">
      <xdr:nvSpPr>
        <xdr:cNvPr id="14" name="TextBox 13">
          <a:extLst>
            <a:ext uri="{FF2B5EF4-FFF2-40B4-BE49-F238E27FC236}">
              <a16:creationId xmlns:a16="http://schemas.microsoft.com/office/drawing/2014/main" id="{3CEFF395-01E5-4661-B87F-860B4439A033}"/>
            </a:ext>
          </a:extLst>
        </xdr:cNvPr>
        <xdr:cNvSpPr txBox="1"/>
      </xdr:nvSpPr>
      <xdr:spPr>
        <a:xfrm>
          <a:off x="6844961" y="1190624"/>
          <a:ext cx="2338845" cy="301399"/>
        </a:xfrm>
        <a:prstGeom prst="rect">
          <a:avLst/>
        </a:prstGeom>
        <a:solidFill>
          <a:srgbClr val="00B0F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GB" sz="1600" b="1">
              <a:solidFill>
                <a:schemeClr val="bg1"/>
              </a:solidFill>
            </a:rPr>
            <a:t>Sales</a:t>
          </a:r>
          <a:r>
            <a:rPr lang="en-GB" sz="1600" b="1" baseline="0">
              <a:solidFill>
                <a:schemeClr val="bg1"/>
              </a:solidFill>
            </a:rPr>
            <a:t> &amp; Profit Percentage</a:t>
          </a:r>
          <a:endParaRPr lang="en-GB" sz="1600" b="1">
            <a:solidFill>
              <a:schemeClr val="bg1"/>
            </a:solidFill>
          </a:endParaRPr>
        </a:p>
      </xdr:txBody>
    </xdr:sp>
    <xdr:clientData/>
  </xdr:oneCellAnchor>
  <xdr:twoCellAnchor>
    <xdr:from>
      <xdr:col>8</xdr:col>
      <xdr:colOff>238124</xdr:colOff>
      <xdr:row>20</xdr:row>
      <xdr:rowOff>56697</xdr:rowOff>
    </xdr:from>
    <xdr:to>
      <xdr:col>14</xdr:col>
      <xdr:colOff>521607</xdr:colOff>
      <xdr:row>34</xdr:row>
      <xdr:rowOff>170089</xdr:rowOff>
    </xdr:to>
    <xdr:graphicFrame macro="">
      <xdr:nvGraphicFramePr>
        <xdr:cNvPr id="17" name="Chart 16">
          <a:extLst>
            <a:ext uri="{FF2B5EF4-FFF2-40B4-BE49-F238E27FC236}">
              <a16:creationId xmlns:a16="http://schemas.microsoft.com/office/drawing/2014/main" id="{53AB3F02-345D-4687-AC5B-93DB65F346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0</xdr:col>
          <xdr:colOff>200025</xdr:colOff>
          <xdr:row>27</xdr:row>
          <xdr:rowOff>190500</xdr:rowOff>
        </xdr:from>
        <xdr:to>
          <xdr:col>2</xdr:col>
          <xdr:colOff>333375</xdr:colOff>
          <xdr:row>30</xdr:row>
          <xdr:rowOff>76200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6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000" b="1" i="0" u="none" strike="noStrike" baseline="0">
                  <a:solidFill>
                    <a:srgbClr val="008080"/>
                  </a:solidFill>
                  <a:latin typeface="Segoe UI"/>
                  <a:cs typeface="Segoe U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200025</xdr:colOff>
          <xdr:row>30</xdr:row>
          <xdr:rowOff>161925</xdr:rowOff>
        </xdr:from>
        <xdr:to>
          <xdr:col>2</xdr:col>
          <xdr:colOff>333375</xdr:colOff>
          <xdr:row>33</xdr:row>
          <xdr:rowOff>57150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6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000" b="1" i="0" u="none" strike="noStrike" baseline="0">
                  <a:solidFill>
                    <a:srgbClr val="008080"/>
                  </a:solidFill>
                  <a:latin typeface="Segoe UI"/>
                  <a:cs typeface="Segoe UI"/>
                </a:rPr>
                <a:t>Show Interface</a:t>
              </a:r>
            </a:p>
          </xdr:txBody>
        </xdr:sp>
        <xdr:clientData fPrintsWithSheet="0"/>
      </xdr:twoCellAnchor>
    </mc:Choice>
    <mc:Fallback/>
  </mc:AlternateContent>
  <xdr:twoCellAnchor>
    <xdr:from>
      <xdr:col>9</xdr:col>
      <xdr:colOff>873123</xdr:colOff>
      <xdr:row>7</xdr:row>
      <xdr:rowOff>5670</xdr:rowOff>
    </xdr:from>
    <xdr:to>
      <xdr:col>15</xdr:col>
      <xdr:colOff>102054</xdr:colOff>
      <xdr:row>22</xdr:row>
      <xdr:rowOff>141741</xdr:rowOff>
    </xdr:to>
    <xdr:graphicFrame macro="">
      <xdr:nvGraphicFramePr>
        <xdr:cNvPr id="20" name="Chart 19">
          <a:extLst>
            <a:ext uri="{FF2B5EF4-FFF2-40B4-BE49-F238E27FC236}">
              <a16:creationId xmlns:a16="http://schemas.microsoft.com/office/drawing/2014/main" id="{43B1AAFD-FFFD-4A5D-8F9D-FDE85CE3CD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446768</xdr:colOff>
      <xdr:row>13</xdr:row>
      <xdr:rowOff>129267</xdr:rowOff>
    </xdr:from>
    <xdr:to>
      <xdr:col>13</xdr:col>
      <xdr:colOff>189639</xdr:colOff>
      <xdr:row>15</xdr:row>
      <xdr:rowOff>122408</xdr:rowOff>
    </xdr:to>
    <xdr:sp macro="" textlink="Pivot!AG12">
      <xdr:nvSpPr>
        <xdr:cNvPr id="21" name="TextBox 20">
          <a:extLst>
            <a:ext uri="{FF2B5EF4-FFF2-40B4-BE49-F238E27FC236}">
              <a16:creationId xmlns:a16="http://schemas.microsoft.com/office/drawing/2014/main" id="{CEE567E8-4028-F5A3-4385-A9F95538C400}"/>
            </a:ext>
          </a:extLst>
        </xdr:cNvPr>
        <xdr:cNvSpPr txBox="1"/>
      </xdr:nvSpPr>
      <xdr:spPr>
        <a:xfrm>
          <a:off x="11139714" y="2635249"/>
          <a:ext cx="1636532" cy="3786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8B53062D-ECD2-4F7A-8347-FF16F81720A0}" type="TxLink">
            <a:rPr lang="en-US" sz="2800" b="0" i="0" u="none" strike="noStrike">
              <a:solidFill>
                <a:schemeClr val="accent5">
                  <a:lumMod val="75000"/>
                </a:schemeClr>
              </a:solidFill>
              <a:latin typeface="Impact" panose="020B0806030902050204" pitchFamily="34" charset="0"/>
              <a:ea typeface="Calibri"/>
              <a:cs typeface="Calibri"/>
            </a:rPr>
            <a:pPr algn="ctr"/>
            <a:t>46%</a:t>
          </a:fld>
          <a:endParaRPr lang="en-GB" sz="8000" b="0">
            <a:solidFill>
              <a:schemeClr val="accent5">
                <a:lumMod val="75000"/>
              </a:schemeClr>
            </a:solidFill>
            <a:latin typeface="Impact" panose="020B0806030902050204" pitchFamily="34" charset="0"/>
          </a:endParaRPr>
        </a:p>
      </xdr:txBody>
    </xdr:sp>
    <xdr:clientData/>
  </xdr:twoCellAnchor>
  <xdr:twoCellAnchor>
    <xdr:from>
      <xdr:col>10</xdr:col>
      <xdr:colOff>176439</xdr:colOff>
      <xdr:row>16</xdr:row>
      <xdr:rowOff>105589</xdr:rowOff>
    </xdr:from>
    <xdr:to>
      <xdr:col>14</xdr:col>
      <xdr:colOff>221565</xdr:colOff>
      <xdr:row>20</xdr:row>
      <xdr:rowOff>20184</xdr:rowOff>
    </xdr:to>
    <xdr:sp macro="" textlink="Pivot!AG7">
      <xdr:nvSpPr>
        <xdr:cNvPr id="22" name="TextBox 21">
          <a:extLst>
            <a:ext uri="{FF2B5EF4-FFF2-40B4-BE49-F238E27FC236}">
              <a16:creationId xmlns:a16="http://schemas.microsoft.com/office/drawing/2014/main" id="{48370B27-F473-A572-BF04-9741175AAF46}"/>
            </a:ext>
          </a:extLst>
        </xdr:cNvPr>
        <xdr:cNvSpPr txBox="1"/>
      </xdr:nvSpPr>
      <xdr:spPr>
        <a:xfrm>
          <a:off x="9848850" y="3189875"/>
          <a:ext cx="4115929" cy="6856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AD04ABAD-6AA5-465A-998A-AC684337A4E3}" type="TxLink">
            <a:rPr lang="en-US" sz="2800" b="0" i="0" u="none" strike="noStrike">
              <a:solidFill>
                <a:schemeClr val="accent5">
                  <a:lumMod val="75000"/>
                </a:schemeClr>
              </a:solidFill>
              <a:latin typeface="Impact" panose="020B0806030902050204" pitchFamily="34" charset="0"/>
              <a:ea typeface="Calibri"/>
              <a:cs typeface="Calibri"/>
            </a:rPr>
            <a:pPr algn="ctr"/>
            <a:t> PHP 1,310.00 </a:t>
          </a:fld>
          <a:endParaRPr lang="en-GB" sz="19900" b="1">
            <a:solidFill>
              <a:schemeClr val="accent5">
                <a:lumMod val="75000"/>
              </a:schemeClr>
            </a:solidFill>
            <a:latin typeface="Impact" panose="020B0806030902050204" pitchFamily="34" charset="0"/>
            <a:cs typeface="Biome Light" panose="020B0303030204020804" pitchFamily="34" charset="0"/>
          </a:endParaRPr>
        </a:p>
      </xdr:txBody>
    </xdr:sp>
    <xdr:clientData/>
  </xdr:twoCellAnchor>
  <xdr:twoCellAnchor>
    <xdr:from>
      <xdr:col>3</xdr:col>
      <xdr:colOff>102052</xdr:colOff>
      <xdr:row>20</xdr:row>
      <xdr:rowOff>22679</xdr:rowOff>
    </xdr:from>
    <xdr:to>
      <xdr:col>8</xdr:col>
      <xdr:colOff>453570</xdr:colOff>
      <xdr:row>34</xdr:row>
      <xdr:rowOff>67129</xdr:rowOff>
    </xdr:to>
    <xdr:graphicFrame macro="">
      <xdr:nvGraphicFramePr>
        <xdr:cNvPr id="10" name="Chart 9">
          <a:extLst>
            <a:ext uri="{FF2B5EF4-FFF2-40B4-BE49-F238E27FC236}">
              <a16:creationId xmlns:a16="http://schemas.microsoft.com/office/drawing/2014/main" id="{2E694F61-38E9-48A0-AD8E-EBEB16BB13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0.23656</cdr:x>
      <cdr:y>0.6283</cdr:y>
    </cdr:from>
    <cdr:to>
      <cdr:x>0.76526</cdr:x>
      <cdr:y>0.84328</cdr:y>
    </cdr:to>
    <cdr:sp macro="" textlink="">
      <cdr:nvSpPr>
        <cdr:cNvPr id="4" name="TextBox 22">
          <a:extLst xmlns:a="http://schemas.openxmlformats.org/drawingml/2006/main">
            <a:ext uri="{FF2B5EF4-FFF2-40B4-BE49-F238E27FC236}">
              <a16:creationId xmlns:a16="http://schemas.microsoft.com/office/drawing/2014/main" id="{9099A8E2-73E8-7173-5CB1-9CABE54761DC}"/>
            </a:ext>
          </a:extLst>
        </cdr:cNvPr>
        <cdr:cNvSpPr txBox="1"/>
      </cdr:nvSpPr>
      <cdr:spPr>
        <a:xfrm xmlns:a="http://schemas.openxmlformats.org/drawingml/2006/main">
          <a:off x="1742501" y="1720976"/>
          <a:ext cx="3894404" cy="58885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ctr">
          <a:no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944FFD50-C4B2-433F-BE52-A50B8B22A5A4}" type="TxLink">
            <a:rPr lang="en-US" sz="2800" b="0" i="0" u="none" strike="noStrike">
              <a:solidFill>
                <a:srgbClr val="00B050"/>
              </a:solidFill>
              <a:latin typeface="Impact" panose="020B0806030902050204" pitchFamily="34" charset="0"/>
              <a:ea typeface="Calibri"/>
              <a:cs typeface="Biome Light" panose="020B0502040204020203" pitchFamily="34" charset="0"/>
            </a:rPr>
            <a:pPr algn="ctr"/>
            <a:t> PHP 2,672.00 </a:t>
          </a:fld>
          <a:endParaRPr lang="en-GB" sz="2800" b="0">
            <a:solidFill>
              <a:srgbClr val="00B050"/>
            </a:solidFill>
            <a:latin typeface="Impact" panose="020B0806030902050204" pitchFamily="34" charset="0"/>
            <a:cs typeface="Biome Light" panose="020B0502040204020203" pitchFamily="34" charset="0"/>
          </a:endParaRPr>
        </a:p>
      </cdr:txBody>
    </cdr:sp>
  </cdr:relSizeAnchor>
</c:userShapes>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ourteny Madronero" refreshedDate="46252.535549884262" createdVersion="8" refreshedVersion="8" minRefreshableVersion="3" recordCount="30" xr:uid="{03C5C709-6266-4EEB-90A3-B6741CDF0507}">
  <cacheSource type="worksheet">
    <worksheetSource ref="A1:P1048576" sheet="Summary"/>
  </cacheSource>
  <cacheFields count="16">
    <cacheField name="Item ID" numFmtId="0">
      <sharedItems containsBlank="1" containsMixedTypes="1" containsNumber="1" containsInteger="1" minValue="1001" maxValue="1007" count="9">
        <n v="1001"/>
        <n v="1002"/>
        <n v="1003"/>
        <s v=""/>
        <m/>
        <n v="1004" u="1"/>
        <n v="1005" u="1"/>
        <n v="1006" u="1"/>
        <n v="1007" u="1"/>
      </sharedItems>
    </cacheField>
    <cacheField name="Product Description" numFmtId="0">
      <sharedItems containsBlank="1" count="10">
        <s v="BEAR BRAND"/>
        <s v="RC COLA"/>
        <s v="CREAM 0"/>
        <s v=""/>
        <m/>
        <s v="CREAM O" u="1"/>
        <s v="VINEGAR" u="1"/>
        <s v="SOY SAUCE" u="1"/>
        <s v="MILO" u="1"/>
        <s v="PANTENE" u="1"/>
      </sharedItems>
    </cacheField>
    <cacheField name="Category" numFmtId="0">
      <sharedItems containsBlank="1" count="7">
        <s v="POWDER MILK"/>
        <s v="SOFTDRINKS"/>
        <s v="BISCUIT"/>
        <s v=""/>
        <m/>
        <s v="CONDIMENTS" u="1"/>
        <s v="SHAMPOO" u="1"/>
      </sharedItems>
    </cacheField>
    <cacheField name="Uom" numFmtId="0">
      <sharedItems containsBlank="1"/>
    </cacheField>
    <cacheField name="Unit Price" numFmtId="165">
      <sharedItems containsBlank="1" containsMixedTypes="1" containsNumber="1" containsInteger="1" minValue="9" maxValue="20"/>
    </cacheField>
    <cacheField name="RSP" numFmtId="164">
      <sharedItems containsBlank="1" containsMixedTypes="1" containsNumber="1" containsInteger="1" minValue="12" maxValue="30"/>
    </cacheField>
    <cacheField name="Date Expire" numFmtId="14">
      <sharedItems containsDate="1" containsBlank="1" containsMixedTypes="1" minDate="2026-08-08T00:00:00" maxDate="2026-10-04T00:00:00"/>
    </cacheField>
    <cacheField name="Days Left" numFmtId="0">
      <sharedItems containsBlank="1" containsMixedTypes="1" containsNumber="1" containsInteger="1" minValue="-10" maxValue="46"/>
    </cacheField>
    <cacheField name="Status" numFmtId="14">
      <sharedItems containsBlank="1" count="5">
        <s v="Expired"/>
        <s v="Not Expired"/>
        <s v="Near Expiry"/>
        <s v=""/>
        <m/>
      </sharedItems>
    </cacheField>
    <cacheField name="Stockin Qty" numFmtId="0">
      <sharedItems containsBlank="1" containsMixedTypes="1" containsNumber="1" containsInteger="1" minValue="150" maxValue="300"/>
    </cacheField>
    <cacheField name="Sales Qty" numFmtId="0">
      <sharedItems containsBlank="1" containsMixedTypes="1" containsNumber="1" containsInteger="1" minValue="12" maxValue="250"/>
    </cacheField>
    <cacheField name="Sales value" numFmtId="164">
      <sharedItems containsBlank="1" containsMixedTypes="1" containsNumber="1" containsInteger="1" minValue="240" maxValue="3000"/>
    </cacheField>
    <cacheField name="Profit" numFmtId="164">
      <sharedItems containsBlank="1" containsMixedTypes="1" containsNumber="1" containsInteger="1" minValue="60" maxValue="750"/>
    </cacheField>
    <cacheField name="Budget" numFmtId="164">
      <sharedItems containsBlank="1" containsMixedTypes="1" containsNumber="1" containsInteger="1" minValue="2700" maxValue="3000"/>
    </cacheField>
    <cacheField name="Stocks On Hand" numFmtId="0">
      <sharedItems containsBlank="1" containsMixedTypes="1" containsNumber="1" containsInteger="1" minValue="50" maxValue="188"/>
    </cacheField>
    <cacheField name="Remarks" numFmtId="0">
      <sharedItems containsBlank="1"/>
    </cacheField>
  </cacheFields>
  <extLst>
    <ext xmlns:x14="http://schemas.microsoft.com/office/spreadsheetml/2009/9/main" uri="{725AE2AE-9491-48be-B2B4-4EB974FC3084}">
      <x14:pivotCacheDefinition pivotCacheId="78576305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x v="0"/>
    <x v="0"/>
    <s v="Per Box"/>
    <n v="15"/>
    <n v="20"/>
    <d v="2026-08-08T00:00:00"/>
    <n v="-10"/>
    <x v="0"/>
    <n v="200"/>
    <n v="12"/>
    <n v="240"/>
    <n v="60"/>
    <n v="3000"/>
    <n v="188"/>
    <s v="Available"/>
  </r>
  <r>
    <x v="1"/>
    <x v="1"/>
    <x v="1"/>
    <s v="Per Box"/>
    <n v="20"/>
    <n v="30"/>
    <d v="2026-10-03T00:00:00"/>
    <n v="46"/>
    <x v="1"/>
    <n v="150"/>
    <n v="50"/>
    <n v="1500"/>
    <n v="500"/>
    <n v="3000"/>
    <n v="100"/>
    <s v="Available"/>
  </r>
  <r>
    <x v="2"/>
    <x v="2"/>
    <x v="2"/>
    <s v="Per Pc"/>
    <n v="9"/>
    <n v="12"/>
    <s v="18-08-2026"/>
    <n v="0"/>
    <x v="2"/>
    <n v="300"/>
    <n v="250"/>
    <n v="3000"/>
    <n v="750"/>
    <n v="2700"/>
    <n v="50"/>
    <s v="Available"/>
  </r>
  <r>
    <x v="3"/>
    <x v="3"/>
    <x v="3"/>
    <s v=""/>
    <s v=""/>
    <s v=""/>
    <s v=""/>
    <s v=""/>
    <x v="3"/>
    <s v=""/>
    <s v=""/>
    <s v=""/>
    <s v=""/>
    <s v=""/>
    <s v=""/>
    <s v=""/>
  </r>
  <r>
    <x v="3"/>
    <x v="3"/>
    <x v="3"/>
    <s v=""/>
    <s v=""/>
    <s v=""/>
    <s v=""/>
    <s v=""/>
    <x v="3"/>
    <s v=""/>
    <s v=""/>
    <s v=""/>
    <s v=""/>
    <s v=""/>
    <s v=""/>
    <s v=""/>
  </r>
  <r>
    <x v="3"/>
    <x v="3"/>
    <x v="3"/>
    <s v=""/>
    <s v=""/>
    <s v=""/>
    <s v=""/>
    <s v=""/>
    <x v="3"/>
    <s v=""/>
    <s v=""/>
    <s v=""/>
    <s v=""/>
    <s v=""/>
    <s v=""/>
    <s v=""/>
  </r>
  <r>
    <x v="3"/>
    <x v="3"/>
    <x v="3"/>
    <s v=""/>
    <s v=""/>
    <s v=""/>
    <s v=""/>
    <s v=""/>
    <x v="3"/>
    <s v=""/>
    <s v=""/>
    <s v=""/>
    <s v=""/>
    <s v=""/>
    <s v=""/>
    <s v=""/>
  </r>
  <r>
    <x v="3"/>
    <x v="3"/>
    <x v="3"/>
    <s v=""/>
    <s v=""/>
    <s v=""/>
    <s v=""/>
    <s v=""/>
    <x v="3"/>
    <s v=""/>
    <s v=""/>
    <s v=""/>
    <s v=""/>
    <s v=""/>
    <s v=""/>
    <s v=""/>
  </r>
  <r>
    <x v="3"/>
    <x v="3"/>
    <x v="3"/>
    <s v=""/>
    <s v=""/>
    <s v=""/>
    <s v=""/>
    <s v=""/>
    <x v="3"/>
    <s v=""/>
    <s v=""/>
    <s v=""/>
    <s v=""/>
    <s v=""/>
    <s v=""/>
    <s v=""/>
  </r>
  <r>
    <x v="3"/>
    <x v="3"/>
    <x v="3"/>
    <s v=""/>
    <s v=""/>
    <s v=""/>
    <s v=""/>
    <s v=""/>
    <x v="3"/>
    <s v=""/>
    <s v=""/>
    <s v=""/>
    <s v=""/>
    <s v=""/>
    <s v=""/>
    <s v=""/>
  </r>
  <r>
    <x v="3"/>
    <x v="3"/>
    <x v="3"/>
    <s v=""/>
    <s v=""/>
    <s v=""/>
    <s v=""/>
    <s v=""/>
    <x v="3"/>
    <s v=""/>
    <s v=""/>
    <s v=""/>
    <s v=""/>
    <s v=""/>
    <s v=""/>
    <s v=""/>
  </r>
  <r>
    <x v="3"/>
    <x v="3"/>
    <x v="3"/>
    <s v=""/>
    <s v=""/>
    <s v=""/>
    <s v=""/>
    <s v=""/>
    <x v="3"/>
    <s v=""/>
    <s v=""/>
    <s v=""/>
    <s v=""/>
    <s v=""/>
    <s v=""/>
    <s v=""/>
  </r>
  <r>
    <x v="3"/>
    <x v="3"/>
    <x v="3"/>
    <s v=""/>
    <s v=""/>
    <s v=""/>
    <s v=""/>
    <s v=""/>
    <x v="3"/>
    <s v=""/>
    <s v=""/>
    <s v=""/>
    <s v=""/>
    <s v=""/>
    <s v=""/>
    <s v=""/>
  </r>
  <r>
    <x v="3"/>
    <x v="3"/>
    <x v="3"/>
    <s v=""/>
    <s v=""/>
    <s v=""/>
    <s v=""/>
    <s v=""/>
    <x v="3"/>
    <s v=""/>
    <s v=""/>
    <s v=""/>
    <s v=""/>
    <s v=""/>
    <s v=""/>
    <s v=""/>
  </r>
  <r>
    <x v="3"/>
    <x v="3"/>
    <x v="3"/>
    <s v=""/>
    <s v=""/>
    <s v=""/>
    <s v=""/>
    <s v=""/>
    <x v="3"/>
    <s v=""/>
    <s v=""/>
    <s v=""/>
    <s v=""/>
    <s v=""/>
    <s v=""/>
    <s v=""/>
  </r>
  <r>
    <x v="3"/>
    <x v="3"/>
    <x v="3"/>
    <s v=""/>
    <s v=""/>
    <s v=""/>
    <s v=""/>
    <s v=""/>
    <x v="3"/>
    <s v=""/>
    <s v=""/>
    <s v=""/>
    <s v=""/>
    <s v=""/>
    <s v=""/>
    <s v=""/>
  </r>
  <r>
    <x v="3"/>
    <x v="3"/>
    <x v="3"/>
    <s v=""/>
    <s v=""/>
    <s v=""/>
    <s v=""/>
    <s v=""/>
    <x v="3"/>
    <s v=""/>
    <s v=""/>
    <s v=""/>
    <s v=""/>
    <s v=""/>
    <s v=""/>
    <s v=""/>
  </r>
  <r>
    <x v="3"/>
    <x v="3"/>
    <x v="3"/>
    <s v=""/>
    <s v=""/>
    <s v=""/>
    <s v=""/>
    <s v=""/>
    <x v="3"/>
    <s v=""/>
    <s v=""/>
    <s v=""/>
    <s v=""/>
    <s v=""/>
    <s v=""/>
    <s v=""/>
  </r>
  <r>
    <x v="3"/>
    <x v="3"/>
    <x v="3"/>
    <s v=""/>
    <s v=""/>
    <s v=""/>
    <s v=""/>
    <s v=""/>
    <x v="3"/>
    <s v=""/>
    <s v=""/>
    <s v=""/>
    <s v=""/>
    <s v=""/>
    <s v=""/>
    <s v=""/>
  </r>
  <r>
    <x v="3"/>
    <x v="3"/>
    <x v="3"/>
    <s v=""/>
    <s v=""/>
    <s v=""/>
    <s v=""/>
    <s v=""/>
    <x v="3"/>
    <s v=""/>
    <s v=""/>
    <s v=""/>
    <s v=""/>
    <s v=""/>
    <s v=""/>
    <s v=""/>
  </r>
  <r>
    <x v="3"/>
    <x v="3"/>
    <x v="3"/>
    <s v=""/>
    <s v=""/>
    <s v=""/>
    <s v=""/>
    <s v=""/>
    <x v="3"/>
    <s v=""/>
    <s v=""/>
    <s v=""/>
    <s v=""/>
    <s v=""/>
    <s v=""/>
    <s v=""/>
  </r>
  <r>
    <x v="3"/>
    <x v="3"/>
    <x v="3"/>
    <s v=""/>
    <s v=""/>
    <s v=""/>
    <s v=""/>
    <s v=""/>
    <x v="3"/>
    <s v=""/>
    <s v=""/>
    <s v=""/>
    <s v=""/>
    <s v=""/>
    <s v=""/>
    <s v=""/>
  </r>
  <r>
    <x v="3"/>
    <x v="3"/>
    <x v="3"/>
    <s v=""/>
    <s v=""/>
    <s v=""/>
    <s v=""/>
    <s v=""/>
    <x v="3"/>
    <s v=""/>
    <s v=""/>
    <s v=""/>
    <s v=""/>
    <s v=""/>
    <s v=""/>
    <s v=""/>
  </r>
  <r>
    <x v="3"/>
    <x v="3"/>
    <x v="3"/>
    <s v=""/>
    <s v=""/>
    <s v=""/>
    <s v=""/>
    <s v=""/>
    <x v="3"/>
    <s v=""/>
    <s v=""/>
    <s v=""/>
    <s v=""/>
    <s v=""/>
    <s v=""/>
    <s v=""/>
  </r>
  <r>
    <x v="3"/>
    <x v="3"/>
    <x v="3"/>
    <s v=""/>
    <s v=""/>
    <s v=""/>
    <s v=""/>
    <s v=""/>
    <x v="3"/>
    <s v=""/>
    <s v=""/>
    <s v=""/>
    <s v=""/>
    <s v=""/>
    <s v=""/>
    <s v=""/>
  </r>
  <r>
    <x v="3"/>
    <x v="3"/>
    <x v="3"/>
    <s v=""/>
    <s v=""/>
    <s v=""/>
    <s v=""/>
    <s v=""/>
    <x v="3"/>
    <s v=""/>
    <s v=""/>
    <s v=""/>
    <s v=""/>
    <s v=""/>
    <s v=""/>
    <s v=""/>
  </r>
  <r>
    <x v="3"/>
    <x v="3"/>
    <x v="3"/>
    <s v=""/>
    <s v=""/>
    <s v=""/>
    <s v=""/>
    <s v=""/>
    <x v="3"/>
    <s v=""/>
    <s v=""/>
    <s v=""/>
    <s v=""/>
    <s v=""/>
    <s v=""/>
    <s v=""/>
  </r>
  <r>
    <x v="3"/>
    <x v="3"/>
    <x v="3"/>
    <s v=""/>
    <s v=""/>
    <s v=""/>
    <s v=""/>
    <s v=""/>
    <x v="3"/>
    <s v=""/>
    <s v=""/>
    <s v=""/>
    <s v=""/>
    <s v=""/>
    <s v=""/>
    <s v=""/>
  </r>
  <r>
    <x v="3"/>
    <x v="3"/>
    <x v="3"/>
    <s v=""/>
    <s v=""/>
    <s v=""/>
    <s v=""/>
    <s v=""/>
    <x v="3"/>
    <s v=""/>
    <s v=""/>
    <s v=""/>
    <s v=""/>
    <s v=""/>
    <s v=""/>
    <s v=""/>
  </r>
  <r>
    <x v="4"/>
    <x v="4"/>
    <x v="4"/>
    <m/>
    <m/>
    <m/>
    <m/>
    <m/>
    <x v="4"/>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B9D7D9C-68B4-4F2D-AD29-1405E14DDCDC}" name="PivotTable10" cacheId="10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rowHeaderCaption="ID">
  <location ref="V3:Y9" firstHeaderRow="0" firstDataRow="1" firstDataCol="1"/>
  <pivotFields count="16">
    <pivotField showAll="0">
      <items count="10">
        <item x="0"/>
        <item x="1"/>
        <item x="2"/>
        <item m="1" x="5"/>
        <item m="1" x="6"/>
        <item m="1" x="7"/>
        <item m="1" x="8"/>
        <item x="3"/>
        <item x="4"/>
        <item t="default"/>
      </items>
    </pivotField>
    <pivotField axis="axisRow" showAll="0" sortType="descending">
      <items count="11">
        <item x="3"/>
        <item x="0"/>
        <item m="1" x="5"/>
        <item m="1" x="8"/>
        <item x="1"/>
        <item m="1" x="7"/>
        <item m="1" x="6"/>
        <item x="4"/>
        <item m="1" x="9"/>
        <item x="2"/>
        <item t="default"/>
      </items>
      <autoSortScope>
        <pivotArea dataOnly="0" outline="0" fieldPosition="0">
          <references count="1">
            <reference field="4294967294" count="1" selected="0">
              <x v="0"/>
            </reference>
          </references>
        </pivotArea>
      </autoSortScope>
    </pivotField>
    <pivotField showAll="0">
      <items count="8">
        <item x="3"/>
        <item x="2"/>
        <item m="1" x="5"/>
        <item x="0"/>
        <item m="1" x="6"/>
        <item x="1"/>
        <item x="4"/>
        <item t="default"/>
      </items>
    </pivotField>
    <pivotField showAll="0"/>
    <pivotField showAll="0"/>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
  </rowFields>
  <rowItems count="6">
    <i>
      <x v="9"/>
    </i>
    <i>
      <x v="4"/>
    </i>
    <i>
      <x v="1"/>
    </i>
    <i>
      <x/>
    </i>
    <i>
      <x v="7"/>
    </i>
    <i t="grand">
      <x/>
    </i>
  </rowItems>
  <colFields count="1">
    <field x="-2"/>
  </colFields>
  <colItems count="3">
    <i>
      <x/>
    </i>
    <i i="1">
      <x v="1"/>
    </i>
    <i i="2">
      <x v="2"/>
    </i>
  </colItems>
  <dataFields count="3">
    <dataField name="Sum of Sales value" fld="11" baseField="1" baseItem="5"/>
    <dataField name="Sum of Profit" fld="12" baseField="1" baseItem="5"/>
    <dataField name="Sum of Budget" fld="13" baseField="1" baseItem="5"/>
  </dataFields>
  <formats count="1">
    <format dxfId="24">
      <pivotArea outline="0" collapsedLevelsAreSubtotals="1" fieldPosition="0"/>
    </format>
  </formats>
  <chartFormats count="3">
    <chartFormat chart="15" format="6" series="1">
      <pivotArea type="data" outline="0" fieldPosition="0">
        <references count="1">
          <reference field="4294967294" count="1" selected="0">
            <x v="0"/>
          </reference>
        </references>
      </pivotArea>
    </chartFormat>
    <chartFormat chart="15" format="7" series="1">
      <pivotArea type="data" outline="0" fieldPosition="0">
        <references count="1">
          <reference field="4294967294" count="1" selected="0">
            <x v="1"/>
          </reference>
        </references>
      </pivotArea>
    </chartFormat>
    <chartFormat chart="15" format="8"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2B9A64F-9952-41D8-BD4F-FBDF272E97A4}" name="PivotTable1" cacheId="10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4" rowHeaderCaption="ID">
  <location ref="A3:D9" firstHeaderRow="0" firstDataRow="1" firstDataCol="1"/>
  <pivotFields count="16">
    <pivotField axis="axisRow" showAll="0">
      <items count="10">
        <item x="0"/>
        <item x="1"/>
        <item x="2"/>
        <item m="1" x="5"/>
        <item m="1" x="6"/>
        <item m="1" x="7"/>
        <item x="3"/>
        <item x="4"/>
        <item m="1" x="8"/>
        <item t="default"/>
      </items>
    </pivotField>
    <pivotField showAll="0"/>
    <pivotField showAll="0">
      <items count="8">
        <item x="3"/>
        <item x="2"/>
        <item m="1" x="5"/>
        <item x="0"/>
        <item m="1" x="6"/>
        <item x="1"/>
        <item x="4"/>
        <item t="default"/>
      </items>
    </pivotField>
    <pivotField showAll="0"/>
    <pivotField showAll="0"/>
    <pivotField showAll="0"/>
    <pivotField showAll="0"/>
    <pivotField showAll="0"/>
    <pivotField showAll="0"/>
    <pivotField dataField="1" showAll="0"/>
    <pivotField dataField="1" showAll="0"/>
    <pivotField showAll="0"/>
    <pivotField showAll="0"/>
    <pivotField showAll="0"/>
    <pivotField dataField="1" showAll="0"/>
    <pivotField showAll="0"/>
  </pivotFields>
  <rowFields count="1">
    <field x="0"/>
  </rowFields>
  <rowItems count="6">
    <i>
      <x/>
    </i>
    <i>
      <x v="1"/>
    </i>
    <i>
      <x v="2"/>
    </i>
    <i>
      <x v="6"/>
    </i>
    <i>
      <x v="7"/>
    </i>
    <i t="grand">
      <x/>
    </i>
  </rowItems>
  <colFields count="1">
    <field x="-2"/>
  </colFields>
  <colItems count="3">
    <i>
      <x/>
    </i>
    <i i="1">
      <x v="1"/>
    </i>
    <i i="2">
      <x v="2"/>
    </i>
  </colItems>
  <dataFields count="3">
    <dataField name="Stock Qty" fld="9" baseField="0" baseItem="0"/>
    <dataField name="Sum of Sales Qty" fld="10" baseField="0" baseItem="7"/>
    <dataField name="Sum of Stocks On Hand" fld="14" baseField="0" baseItem="8"/>
  </dataFields>
  <chartFormats count="3">
    <chartFormat chart="42" format="6" series="1">
      <pivotArea type="data" outline="0" fieldPosition="0">
        <references count="1">
          <reference field="4294967294" count="1" selected="0">
            <x v="0"/>
          </reference>
        </references>
      </pivotArea>
    </chartFormat>
    <chartFormat chart="42" format="7" series="1">
      <pivotArea type="data" outline="0" fieldPosition="0">
        <references count="1">
          <reference field="4294967294" count="1" selected="0">
            <x v="1"/>
          </reference>
        </references>
      </pivotArea>
    </chartFormat>
    <chartFormat chart="42" format="8"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E489A83-38A5-49D3-A328-6591ABD76377}" name="PivotTable5" cacheId="10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ID">
  <location ref="L3:M9" firstHeaderRow="1" firstDataRow="1" firstDataCol="1"/>
  <pivotFields count="16">
    <pivotField axis="axisRow" showAll="0">
      <items count="10">
        <item x="0"/>
        <item x="1"/>
        <item x="2"/>
        <item m="1" x="5"/>
        <item m="1" x="6"/>
        <item m="1" x="7"/>
        <item x="3"/>
        <item x="4"/>
        <item m="1" x="8"/>
        <item t="default"/>
      </items>
    </pivotField>
    <pivotField showAll="0"/>
    <pivotField showAll="0">
      <items count="8">
        <item x="3"/>
        <item x="2"/>
        <item m="1" x="5"/>
        <item x="0"/>
        <item m="1" x="6"/>
        <item x="1"/>
        <item x="4"/>
        <item t="default"/>
      </items>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s>
  <rowFields count="1">
    <field x="0"/>
  </rowFields>
  <rowItems count="6">
    <i>
      <x/>
    </i>
    <i>
      <x v="1"/>
    </i>
    <i>
      <x v="2"/>
    </i>
    <i>
      <x v="6"/>
    </i>
    <i>
      <x v="7"/>
    </i>
    <i t="grand">
      <x/>
    </i>
  </rowItems>
  <colItems count="1">
    <i/>
  </colItems>
  <dataFields count="1">
    <dataField name="Budgetcost" fld="13" baseField="0" baseItem="0" numFmtId="165"/>
  </dataFields>
  <formats count="1">
    <format dxfId="25">
      <pivotArea outline="0" collapsedLevelsAreSubtotals="1" fieldPosition="0"/>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E6D04FD-9860-42BF-A03D-7C86F5CAE78A}" name="PivotTable4" cacheId="10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ID">
  <location ref="I3:J9" firstHeaderRow="1" firstDataRow="1" firstDataCol="1"/>
  <pivotFields count="16">
    <pivotField axis="axisRow" showAll="0">
      <items count="10">
        <item x="0"/>
        <item x="1"/>
        <item x="2"/>
        <item m="1" x="5"/>
        <item m="1" x="6"/>
        <item m="1" x="7"/>
        <item x="3"/>
        <item x="4"/>
        <item m="1" x="8"/>
        <item t="default"/>
      </items>
    </pivotField>
    <pivotField showAll="0"/>
    <pivotField showAll="0">
      <items count="8">
        <item x="3"/>
        <item x="2"/>
        <item m="1" x="5"/>
        <item x="0"/>
        <item m="1" x="6"/>
        <item x="1"/>
        <item x="4"/>
        <item t="default"/>
      </items>
    </pivotField>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s>
  <rowFields count="1">
    <field x="0"/>
  </rowFields>
  <rowItems count="6">
    <i>
      <x/>
    </i>
    <i>
      <x v="1"/>
    </i>
    <i>
      <x v="2"/>
    </i>
    <i>
      <x v="6"/>
    </i>
    <i>
      <x v="7"/>
    </i>
    <i t="grand">
      <x/>
    </i>
  </rowItems>
  <colItems count="1">
    <i/>
  </colItems>
  <dataFields count="1">
    <dataField name="Profit Per Item" fld="12" baseField="0" baseItem="0" numFmtId="165"/>
  </dataFields>
  <formats count="1">
    <format dxfId="26">
      <pivotArea outline="0" collapsedLevelsAreSubtotals="1" fieldPosition="0"/>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E5C0466-6F25-4FFA-8DF9-90F78D402A1B}" name="PivotTable9" cacheId="10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4" rowHeaderCaption="Category">
  <location ref="P3:S9" firstHeaderRow="0" firstDataRow="1" firstDataCol="1" rowPageCount="1" colPageCount="1"/>
  <pivotFields count="16">
    <pivotField showAll="0">
      <items count="10">
        <item x="0"/>
        <item x="1"/>
        <item x="2"/>
        <item m="1" x="5"/>
        <item m="1" x="6"/>
        <item m="1" x="7"/>
        <item m="1" x="8"/>
        <item x="3"/>
        <item x="4"/>
        <item t="default"/>
      </items>
    </pivotField>
    <pivotField showAll="0"/>
    <pivotField axis="axisRow" showAll="0" sortType="descending">
      <items count="8">
        <item x="3"/>
        <item x="2"/>
        <item m="1" x="5"/>
        <item x="0"/>
        <item x="1"/>
        <item x="4"/>
        <item m="1" x="6"/>
        <item t="default"/>
      </items>
      <autoSortScope>
        <pivotArea dataOnly="0" outline="0" fieldPosition="0">
          <references count="1">
            <reference field="4294967294" count="1" selected="0">
              <x v="2"/>
            </reference>
          </references>
        </pivotArea>
      </autoSortScope>
    </pivotField>
    <pivotField showAll="0"/>
    <pivotField showAll="0"/>
    <pivotField showAll="0"/>
    <pivotField showAll="0"/>
    <pivotField showAll="0"/>
    <pivotField axis="axisPage" showAll="0">
      <items count="6">
        <item x="3"/>
        <item x="2"/>
        <item x="1"/>
        <item x="4"/>
        <item x="0"/>
        <item t="default"/>
      </items>
    </pivotField>
    <pivotField showAll="0"/>
    <pivotField showAll="0"/>
    <pivotField dataField="1" showAll="0"/>
    <pivotField dataField="1" showAll="0"/>
    <pivotField dataField="1" showAll="0"/>
    <pivotField showAll="0"/>
    <pivotField showAll="0"/>
  </pivotFields>
  <rowFields count="1">
    <field x="2"/>
  </rowFields>
  <rowItems count="6">
    <i>
      <x v="4"/>
    </i>
    <i>
      <x v="3"/>
    </i>
    <i>
      <x v="1"/>
    </i>
    <i>
      <x v="5"/>
    </i>
    <i>
      <x/>
    </i>
    <i t="grand">
      <x/>
    </i>
  </rowItems>
  <colFields count="1">
    <field x="-2"/>
  </colFields>
  <colItems count="3">
    <i>
      <x/>
    </i>
    <i i="1">
      <x v="1"/>
    </i>
    <i i="2">
      <x v="2"/>
    </i>
  </colItems>
  <pageFields count="1">
    <pageField fld="8" hier="-1"/>
  </pageFields>
  <dataFields count="3">
    <dataField name="Sum of Sales value" fld="11" baseField="2" baseItem="0"/>
    <dataField name="Sum of Profit" fld="12" baseField="2" baseItem="0"/>
    <dataField name="Sum of Budget" fld="13" baseField="2" baseItem="0"/>
  </dataFields>
  <formats count="1">
    <format dxfId="27">
      <pivotArea outline="0" collapsedLevelsAreSubtotals="1" fieldPosition="0"/>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3ED5DEC-4B4E-4086-88E8-7D8DB151EA5F}" name="PivotTable2" cacheId="10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rowHeaderCaption="ID">
  <location ref="AA3:AB7" firstHeaderRow="1" firstDataRow="1" firstDataCol="1"/>
  <pivotFields count="16">
    <pivotField showAll="0">
      <items count="10">
        <item x="0"/>
        <item x="1"/>
        <item x="2"/>
        <item m="1" x="5"/>
        <item m="1" x="6"/>
        <item m="1" x="7"/>
        <item m="1" x="8"/>
        <item x="3"/>
        <item x="4"/>
        <item t="default"/>
      </items>
    </pivotField>
    <pivotField showAll="0"/>
    <pivotField axis="axisRow" showAll="0" measureFilter="1" sortType="descending">
      <items count="8">
        <item x="3"/>
        <item x="2"/>
        <item m="1" x="5"/>
        <item x="0"/>
        <item m="1" x="6"/>
        <item x="1"/>
        <item x="4"/>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s>
  <rowFields count="1">
    <field x="2"/>
  </rowFields>
  <rowItems count="4">
    <i>
      <x v="1"/>
    </i>
    <i>
      <x v="5"/>
    </i>
    <i>
      <x v="3"/>
    </i>
    <i t="grand">
      <x/>
    </i>
  </rowItems>
  <colItems count="1">
    <i/>
  </colItems>
  <dataFields count="1">
    <dataField name="Sales " fld="11" baseField="0" baseItem="0" numFmtId="165"/>
  </dataFields>
  <formats count="1">
    <format dxfId="28">
      <pivotArea outline="0" collapsedLevelsAreSubtotals="1" fieldPosition="0"/>
    </format>
  </formats>
  <pivotTableStyleInfo name="PivotStyleMedium2" showRowHeaders="1" showColHeaders="1" showRowStripes="0" showColStripes="0" showLastColumn="1"/>
  <filters count="1">
    <filter fld="2" type="count" evalOrder="-1" id="1" iMeasureFld="0">
      <autoFilter ref="A1">
        <filterColumn colId="0">
          <top10 val="3" filterVal="3"/>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D238D16-916C-4406-86BD-2499E368ECE2}" name="PivotTable3" cacheId="10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rowHeaderCaption="ID">
  <location ref="F3:G9" firstHeaderRow="1" firstDataRow="1" firstDataCol="1"/>
  <pivotFields count="16">
    <pivotField axis="axisRow" showAll="0">
      <items count="10">
        <item x="0"/>
        <item x="1"/>
        <item x="2"/>
        <item m="1" x="5"/>
        <item m="1" x="6"/>
        <item m="1" x="7"/>
        <item x="3"/>
        <item x="4"/>
        <item m="1" x="8"/>
        <item t="default"/>
      </items>
    </pivotField>
    <pivotField showAll="0"/>
    <pivotField showAll="0">
      <items count="8">
        <item x="3"/>
        <item x="2"/>
        <item m="1" x="5"/>
        <item x="0"/>
        <item m="1" x="6"/>
        <item x="1"/>
        <item x="4"/>
        <item t="default"/>
      </items>
    </pivotField>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s>
  <rowFields count="1">
    <field x="0"/>
  </rowFields>
  <rowItems count="6">
    <i>
      <x/>
    </i>
    <i>
      <x v="1"/>
    </i>
    <i>
      <x v="2"/>
    </i>
    <i>
      <x v="6"/>
    </i>
    <i>
      <x v="7"/>
    </i>
    <i t="grand">
      <x/>
    </i>
  </rowItems>
  <colItems count="1">
    <i/>
  </colItems>
  <dataFields count="1">
    <dataField name="Sales " fld="11" baseField="0" baseItem="0" numFmtId="165"/>
  </dataFields>
  <formats count="1">
    <format dxfId="29">
      <pivotArea outline="0" collapsedLevelsAreSubtotals="1" fieldPosition="0"/>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ID" xr10:uid="{AEE1936D-D57A-4DB4-A4BD-E8E7ABB61089}" sourceName="Item ID">
  <pivotTables>
    <pivotTable tabId="17" name="PivotTable1"/>
    <pivotTable tabId="17" name="PivotTable3"/>
    <pivotTable tabId="17" name="PivotTable4"/>
    <pivotTable tabId="17" name="PivotTable5"/>
    <pivotTable tabId="17" name="PivotTable9"/>
    <pivotTable tabId="17" name="PivotTable10"/>
    <pivotTable tabId="17" name="PivotTable2"/>
  </pivotTables>
  <data>
    <tabular pivotCacheId="785763056">
      <items count="9">
        <i x="0" s="1"/>
        <i x="1" s="1"/>
        <i x="2" s="1"/>
        <i x="3" s="1"/>
        <i x="5" s="1" nd="1"/>
        <i x="6" s="1" nd="1"/>
        <i x="7" s="1" nd="1"/>
        <i x="8" s="1" nd="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2EC60AC6-7125-4A33-B900-F882A49213D3}" sourceName="Category">
  <pivotTables>
    <pivotTable tabId="17" name="PivotTable10"/>
    <pivotTable tabId="17" name="PivotTable1"/>
    <pivotTable tabId="17" name="PivotTable3"/>
    <pivotTable tabId="17" name="PivotTable4"/>
    <pivotTable tabId="17" name="PivotTable5"/>
    <pivotTable tabId="17" name="PivotTable9"/>
    <pivotTable tabId="17" name="PivotTable2"/>
  </pivotTables>
  <data>
    <tabular pivotCacheId="785763056">
      <items count="7">
        <i x="3" s="1"/>
        <i x="2" s="1"/>
        <i x="0" s="1"/>
        <i x="1" s="1"/>
        <i x="5" s="1" nd="1"/>
        <i x="6" s="1" nd="1"/>
        <i x="4"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tem ID" xr10:uid="{4F425EEB-E572-43F7-999F-0B1479E926AB}" cache="Slicer_Item_ID" caption="Item ID" style="Compact" rowHeight="241300"/>
  <slicer name="Category" xr10:uid="{E3966F75-23E5-405E-B031-AFD546E666C5}" cache="Slicer_Category" caption="Category" style="Compact"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B1:L19" totalsRowShown="0" headerRowDxfId="42" dataDxfId="41">
  <autoFilter ref="B1:L19" xr:uid="{00000000-0009-0000-0100-000002000000}"/>
  <tableColumns count="11">
    <tableColumn id="2" xr3:uid="{00000000-0010-0000-0000-000002000000}" name="Item ID" dataDxfId="40"/>
    <tableColumn id="3" xr3:uid="{00000000-0010-0000-0000-000003000000}" name="Product Description" dataDxfId="39"/>
    <tableColumn id="4" xr3:uid="{00000000-0010-0000-0000-000004000000}" name="Category" dataDxfId="38"/>
    <tableColumn id="5" xr3:uid="{00000000-0010-0000-0000-000005000000}" name="Uom" dataDxfId="37"/>
    <tableColumn id="6" xr3:uid="{00000000-0010-0000-0000-000006000000}" name="Unit Price" dataDxfId="36"/>
    <tableColumn id="7" xr3:uid="{00000000-0010-0000-0000-000007000000}" name="Selling Price" dataDxfId="35"/>
    <tableColumn id="10" xr3:uid="{5FDD301B-DF4D-4300-A848-C7D63B96AD91}" name="Qty" dataDxfId="34"/>
    <tableColumn id="1" xr3:uid="{084E69A7-5EAC-417C-AC41-79D8AC3DD9DA}" name="File Path" dataDxfId="33"/>
    <tableColumn id="9" xr3:uid="{F9D64D2A-CBF7-490F-8EA0-E5E4BB58BDE3}" name="Date Expire" dataDxfId="32"/>
    <tableColumn id="11" xr3:uid="{07F85CF0-7C7F-425D-9EE2-649955FD8332}" name="Date Created" dataDxfId="31"/>
    <tableColumn id="8" xr3:uid="{00000000-0010-0000-0000-000008000000}" name="Product Cost" dataDxfId="30">
      <calculatedColumnFormula>IF(Table2[[#This Row],[Item ID]]="","",PRODUCT(Table2[[#This Row],[Unit Price]]*Table2[[#This Row],[Qty]]))</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le2426" displayName="Table2426" ref="A1:R30" totalsRowShown="0" headerRowDxfId="62" dataDxfId="61">
  <autoFilter ref="A1:R30" xr:uid="{00000000-0009-0000-0100-000005000000}"/>
  <tableColumns count="18">
    <tableColumn id="2" xr3:uid="{00000000-0010-0000-0300-000002000000}" name="Item ID" dataDxfId="60">
      <calculatedColumnFormula>IF(item_data="","",item_data)</calculatedColumnFormula>
    </tableColumn>
    <tableColumn id="3" xr3:uid="{00000000-0010-0000-0300-000003000000}" name="Product Description" dataDxfId="59">
      <calculatedColumnFormula>IF(A2="","",VLOOKUP(Table2426[[#This Row],[Item ID]],data,2,FALSE))</calculatedColumnFormula>
    </tableColumn>
    <tableColumn id="4" xr3:uid="{00000000-0010-0000-0300-000004000000}" name="Category" dataDxfId="58">
      <calculatedColumnFormula>IF(A2="","",VLOOKUP(Table2426[[#This Row],[Item ID]],data,3,FALSE))</calculatedColumnFormula>
    </tableColumn>
    <tableColumn id="5" xr3:uid="{00000000-0010-0000-0300-000005000000}" name="Uom" dataDxfId="57">
      <calculatedColumnFormula>IF(A2="","",VLOOKUP(Table2426[[#This Row],[Item ID]],data,4,FALSE))</calculatedColumnFormula>
    </tableColumn>
    <tableColumn id="1" xr3:uid="{00000000-0010-0000-0300-000001000000}" name="Unit Price" dataDxfId="56">
      <calculatedColumnFormula>IF(A2="","",VLOOKUP(Table2426[[#This Row],[Item ID]],data,5,FALSE))</calculatedColumnFormula>
    </tableColumn>
    <tableColumn id="6" xr3:uid="{00000000-0010-0000-0300-000006000000}" name="RSP" dataDxfId="55">
      <calculatedColumnFormula>IF(A2="","",VLOOKUP(Table2426[[#This Row],[Item ID]],data,6,FALSE))</calculatedColumnFormula>
    </tableColumn>
    <tableColumn id="16" xr3:uid="{40651324-7DFB-45FA-941D-F0F941433BDF}" name="Date Expire" dataDxfId="54">
      <calculatedColumnFormula>IF(Table2426[[#This Row],[Item ID]]="","",VLOOKUP(Table2426[[#This Row],[Item ID]],MASTER_LIST,9,0))</calculatedColumnFormula>
    </tableColumn>
    <tableColumn id="17" xr3:uid="{2D8B7D28-A72F-4028-8553-2113934BC55B}" name="Days Left" dataDxfId="53">
      <calculatedColumnFormula>IF(G2="","",G2-TODAY())</calculatedColumnFormula>
    </tableColumn>
    <tableColumn id="18" xr3:uid="{965D0289-C8CE-421E-BC4F-7BDBA349AD21}" name="Status" dataDxfId="52">
      <calculatedColumnFormula>IF(H2="","",IF(H2&lt;0,"Expired",IF(H2&lt;=30,"Near Expiry","Not Expired")))</calculatedColumnFormula>
    </tableColumn>
    <tableColumn id="7" xr3:uid="{00000000-0010-0000-0300-000007000000}" name="Stockin Qty" dataDxfId="51">
      <calculatedColumnFormula>IF(A2="","",SUMIFS(ItemMaster!H:H,ItemMaster!B:B,Table2426[[#This Row],[Item ID]]))</calculatedColumnFormula>
    </tableColumn>
    <tableColumn id="12" xr3:uid="{00000000-0010-0000-0300-00000C000000}" name="Sales Qty" dataDxfId="50">
      <calculatedColumnFormula>IF(A2="","",SUMIFS(Sales!F:F,Sales!A:A,Table2426[[#This Row],[Item ID]]))</calculatedColumnFormula>
    </tableColumn>
    <tableColumn id="11" xr3:uid="{00000000-0010-0000-0300-00000B000000}" name="Sales value" dataDxfId="49">
      <calculatedColumnFormula>IF(A2="","",SUMIFS(Sales!G:G,Sales!A:A,Table2426[[#This Row],[Item ID]]))</calculatedColumnFormula>
    </tableColumn>
    <tableColumn id="13" xr3:uid="{00000000-0010-0000-0300-00000D000000}" name="Profit" dataDxfId="48">
      <calculatedColumnFormula>IF(A2="","",ABS(SUM(E2-F2)*K2))</calculatedColumnFormula>
    </tableColumn>
    <tableColumn id="10" xr3:uid="{00000000-0010-0000-0300-00000A000000}" name="Budget" dataDxfId="47">
      <calculatedColumnFormula>IF(A2="","",PRODUCT(Table2426[[#This Row],[Unit Price]]*Table2426[[#This Row],[Stockin Qty]]))</calculatedColumnFormula>
    </tableColumn>
    <tableColumn id="14" xr3:uid="{00000000-0010-0000-0300-00000E000000}" name="Stocks On Hand" dataDxfId="46">
      <calculatedColumnFormula>IF(A2="","",PRODUCT(Table2426[[#This Row],[Stockin Qty]]-Table2426[[#This Row],[Sales Qty]]))</calculatedColumnFormula>
    </tableColumn>
    <tableColumn id="8" xr3:uid="{00000000-0010-0000-0300-000008000000}" name="Remarks" dataDxfId="45">
      <calculatedColumnFormula>IF(A2="","",IF(O2&gt;10, "Available","Re-Order"))</calculatedColumnFormula>
    </tableColumn>
    <tableColumn id="9" xr3:uid="{E68B45C9-EE50-4FF6-9C1D-BEE91C3F6A8D}" name="Link" dataDxfId="44">
      <calculatedColumnFormula>IF(Table2426[[#This Row],[Item ID]]="","",VLOOKUP(Table2426[[#This Row],[Item ID]],Table2[[Item ID]:[File Path]],8,FALSE))</calculatedColumnFormula>
    </tableColumn>
    <tableColumn id="15" xr3:uid="{0198B1BC-CC81-4DB6-B49D-1FAF93C09288}" name="K" dataDxfId="43"/>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15ACAF-A0EA-4A11-919A-FF2646E30814}" name="Table3" displayName="Table3" ref="D37:H43" totalsRowShown="0" headerRowDxfId="23" dataDxfId="22">
  <autoFilter ref="D37:H43" xr:uid="{2E15ACAF-A0EA-4A11-919A-FF2646E30814}"/>
  <tableColumns count="5">
    <tableColumn id="1" xr3:uid="{A748B0CD-8FB5-43E3-829B-A344FCB165F4}" name="Category" dataDxfId="21">
      <calculatedColumnFormula>Pivot!P4</calculatedColumnFormula>
    </tableColumn>
    <tableColumn id="2" xr3:uid="{A6B65CAC-A5E2-4376-93C6-88A2BB2944A7}" name="Total Revenue" dataDxfId="20">
      <calculatedColumnFormula>Pivot!Q4</calculatedColumnFormula>
    </tableColumn>
    <tableColumn id="3" xr3:uid="{1956202F-BAFD-43B1-8B49-771BA25920C7}" name="Profit" dataDxfId="19">
      <calculatedColumnFormula>Pivot!R4</calculatedColumnFormula>
    </tableColumn>
    <tableColumn id="4" xr3:uid="{26184842-D607-463C-B571-636F95A55CAE}" name="Product Cost" dataDxfId="18">
      <calculatedColumnFormula>Pivot!S4</calculatedColumnFormula>
    </tableColumn>
    <tableColumn id="5" xr3:uid="{B78C7625-D7D4-4D3B-802D-57E22E198BE8}" name="Total Percentage" dataDxfId="17" dataCellStyle="Per cent">
      <calculatedColumnFormula>IFERROR(E38/G38,"")</calculatedColumnFormula>
    </tableColumn>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77A2399-F8FC-4895-B74F-3FC2BBA8745D}" name="Table4" displayName="Table4" ref="J37:N44" totalsRowShown="0" headerRowDxfId="16" dataDxfId="15">
  <autoFilter ref="J37:N44" xr:uid="{477A2399-F8FC-4895-B74F-3FC2BBA8745D}"/>
  <tableColumns count="5">
    <tableColumn id="1" xr3:uid="{1B06BF3E-C8FF-4767-900E-B3DDE7AF8114}" name="Product" dataDxfId="14">
      <calculatedColumnFormula>Pivot!V4</calculatedColumnFormula>
    </tableColumn>
    <tableColumn id="2" xr3:uid="{086F1246-46AF-4212-B489-794939C724BF}" name="Total Revenue" dataDxfId="13">
      <calculatedColumnFormula>Pivot!W4</calculatedColumnFormula>
    </tableColumn>
    <tableColumn id="3" xr3:uid="{3CC516D6-AAB9-49FB-AF4B-735FB88B3073}" name="Profit" dataDxfId="12">
      <calculatedColumnFormula>Pivot!X4</calculatedColumnFormula>
    </tableColumn>
    <tableColumn id="4" xr3:uid="{E3E2E6F6-47A3-4E63-88D5-FCD78BE4A256}" name="Product Cost" dataDxfId="11">
      <calculatedColumnFormula>Pivot!Y4</calculatedColumnFormula>
    </tableColumn>
    <tableColumn id="5" xr3:uid="{C68FB8D3-F45D-4B81-A8D8-252B1C7DB204}" name="Total Percentage" dataDxfId="10" dataCellStyle="Per cent">
      <calculatedColumnFormula>IFERROR(K38/M38,"")</calculatedColumnFormula>
    </tableColumn>
  </tableColumns>
  <tableStyleInfo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xml"/><Relationship Id="rId7" Type="http://schemas.microsoft.com/office/2007/relationships/slicer" Target="../slicers/slicer1.xml"/><Relationship Id="rId2" Type="http://schemas.openxmlformats.org/officeDocument/2006/relationships/vmlDrawing" Target="../drawings/vmlDrawing1.vml"/><Relationship Id="rId1" Type="http://schemas.openxmlformats.org/officeDocument/2006/relationships/drawing" Target="../drawings/drawing2.xm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ctrlProp" Target="../ctrlProps/ctrlProp2.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AAF46-D0F7-4B28-A177-8E4B0EB630B6}">
  <sheetPr codeName="Sheet2"/>
  <dimension ref="A1"/>
  <sheetViews>
    <sheetView showGridLines="0" workbookViewId="0">
      <selection activeCell="D50" sqref="D50"/>
    </sheetView>
  </sheetViews>
  <sheetFormatPr defaultRowHeight="15" x14ac:dyDescent="0.25"/>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T19"/>
  <sheetViews>
    <sheetView showGridLines="0" topLeftCell="F1" zoomScale="141" zoomScaleNormal="141" workbookViewId="0">
      <selection activeCell="L2" sqref="L2"/>
    </sheetView>
  </sheetViews>
  <sheetFormatPr defaultRowHeight="15" x14ac:dyDescent="0.25"/>
  <cols>
    <col min="1" max="1" width="5.7109375" style="29" customWidth="1"/>
    <col min="2" max="2" width="14.28515625" customWidth="1"/>
    <col min="3" max="3" width="25.7109375" customWidth="1"/>
    <col min="4" max="4" width="21.85546875" customWidth="1"/>
    <col min="5" max="5" width="14.7109375" customWidth="1"/>
    <col min="6" max="6" width="20.7109375" style="3" customWidth="1"/>
    <col min="7" max="7" width="21.28515625" style="3" customWidth="1"/>
    <col min="8" max="8" width="15.85546875" style="3" customWidth="1"/>
    <col min="9" max="9" width="50.85546875" style="40" hidden="1" customWidth="1"/>
    <col min="10" max="11" width="19" style="27" customWidth="1"/>
    <col min="12" max="12" width="21.140625" style="13" customWidth="1"/>
  </cols>
  <sheetData>
    <row r="1" spans="1:20" ht="15.75" x14ac:dyDescent="0.25">
      <c r="A1" s="5" t="s">
        <v>17</v>
      </c>
      <c r="B1" s="5" t="s">
        <v>0</v>
      </c>
      <c r="C1" s="5" t="s">
        <v>1</v>
      </c>
      <c r="D1" s="5" t="s">
        <v>2</v>
      </c>
      <c r="E1" s="5" t="s">
        <v>3</v>
      </c>
      <c r="F1" s="6" t="s">
        <v>4</v>
      </c>
      <c r="G1" s="6" t="s">
        <v>5</v>
      </c>
      <c r="H1" s="6" t="s">
        <v>7</v>
      </c>
      <c r="I1" s="6" t="s">
        <v>30</v>
      </c>
      <c r="J1" s="26" t="s">
        <v>22</v>
      </c>
      <c r="K1" s="26" t="s">
        <v>31</v>
      </c>
      <c r="L1" s="39" t="s">
        <v>16</v>
      </c>
      <c r="T1" t="s">
        <v>26</v>
      </c>
    </row>
    <row r="2" spans="1:20" x14ac:dyDescent="0.25">
      <c r="A2" s="29">
        <v>1</v>
      </c>
      <c r="B2" s="31">
        <v>1001</v>
      </c>
      <c r="C2" s="31" t="s">
        <v>63</v>
      </c>
      <c r="D2" s="31" t="s">
        <v>64</v>
      </c>
      <c r="E2" s="31" t="s">
        <v>65</v>
      </c>
      <c r="F2" s="32">
        <v>15</v>
      </c>
      <c r="G2" s="32">
        <v>20</v>
      </c>
      <c r="H2" s="31">
        <v>200</v>
      </c>
      <c r="I2" s="42" t="s">
        <v>66</v>
      </c>
      <c r="J2" s="43">
        <v>46242</v>
      </c>
      <c r="K2" s="37">
        <v>46240</v>
      </c>
      <c r="L2" s="36">
        <f>IF(Table2[[#This Row],[Item ID]]="","",PRODUCT(Table2[[#This Row],[Unit Price]]*Table2[[#This Row],[Qty]]))</f>
        <v>3000</v>
      </c>
    </row>
    <row r="3" spans="1:20" x14ac:dyDescent="0.25">
      <c r="A3" s="29">
        <v>2</v>
      </c>
      <c r="B3" s="31">
        <v>1002</v>
      </c>
      <c r="C3" s="31" t="s">
        <v>67</v>
      </c>
      <c r="D3" s="31" t="s">
        <v>68</v>
      </c>
      <c r="E3" s="31" t="s">
        <v>65</v>
      </c>
      <c r="F3" s="32">
        <v>20</v>
      </c>
      <c r="G3" s="32">
        <v>30</v>
      </c>
      <c r="H3" s="31">
        <v>150</v>
      </c>
      <c r="I3" s="42" t="s">
        <v>69</v>
      </c>
      <c r="J3" s="43">
        <v>46298</v>
      </c>
      <c r="K3" s="37">
        <v>46240</v>
      </c>
      <c r="L3" s="36">
        <f>IF(Table2[[#This Row],[Item ID]]="","",PRODUCT(Table2[[#This Row],[Unit Price]]*Table2[[#This Row],[Qty]]))</f>
        <v>3000</v>
      </c>
    </row>
    <row r="4" spans="1:20" x14ac:dyDescent="0.25">
      <c r="A4" s="29">
        <v>3</v>
      </c>
      <c r="B4" s="31">
        <v>1003</v>
      </c>
      <c r="C4" s="31" t="s">
        <v>70</v>
      </c>
      <c r="D4" s="31" t="s">
        <v>71</v>
      </c>
      <c r="E4" s="31" t="s">
        <v>74</v>
      </c>
      <c r="F4" s="32">
        <v>9</v>
      </c>
      <c r="G4" s="32">
        <v>12</v>
      </c>
      <c r="H4" s="31">
        <v>300</v>
      </c>
      <c r="I4" s="42" t="s">
        <v>72</v>
      </c>
      <c r="J4" s="43" t="s">
        <v>73</v>
      </c>
      <c r="K4" s="37">
        <v>46240</v>
      </c>
      <c r="L4" s="36">
        <f>IF(Table2[[#This Row],[Item ID]]="","",PRODUCT(Table2[[#This Row],[Unit Price]]*Table2[[#This Row],[Qty]]))</f>
        <v>2700</v>
      </c>
    </row>
    <row r="5" spans="1:20" x14ac:dyDescent="0.25">
      <c r="B5" s="31"/>
      <c r="C5" s="31"/>
      <c r="D5" s="31"/>
      <c r="E5" s="31"/>
      <c r="F5" s="32"/>
      <c r="G5" s="32"/>
      <c r="H5" s="31"/>
      <c r="I5" s="42"/>
      <c r="J5" s="43"/>
      <c r="K5" s="37"/>
      <c r="L5" s="36" t="str">
        <f>IF(Table2[[#This Row],[Item ID]]="","",PRODUCT(Table2[[#This Row],[Unit Price]]*Table2[[#This Row],[Qty]]))</f>
        <v/>
      </c>
    </row>
    <row r="6" spans="1:20" x14ac:dyDescent="0.25">
      <c r="B6" s="31"/>
      <c r="C6" s="31"/>
      <c r="D6" s="31"/>
      <c r="E6" s="31"/>
      <c r="F6" s="32"/>
      <c r="G6" s="32"/>
      <c r="H6" s="31"/>
      <c r="I6" s="42"/>
      <c r="J6" s="43"/>
      <c r="K6" s="37"/>
      <c r="L6" s="36" t="str">
        <f>IF(Table2[[#This Row],[Item ID]]="","",PRODUCT(Table2[[#This Row],[Unit Price]]*Table2[[#This Row],[Qty]]))</f>
        <v/>
      </c>
    </row>
    <row r="7" spans="1:20" x14ac:dyDescent="0.25">
      <c r="B7" s="31"/>
      <c r="C7" s="31"/>
      <c r="D7" s="31"/>
      <c r="E7" s="31"/>
      <c r="F7" s="32"/>
      <c r="G7" s="32"/>
      <c r="H7" s="31"/>
      <c r="I7" s="42"/>
      <c r="J7" s="43"/>
      <c r="K7" s="37"/>
      <c r="L7" s="36" t="str">
        <f>IF(Table2[[#This Row],[Item ID]]="","",PRODUCT(Table2[[#This Row],[Unit Price]]*Table2[[#This Row],[Qty]]))</f>
        <v/>
      </c>
    </row>
    <row r="8" spans="1:20" x14ac:dyDescent="0.25">
      <c r="B8" s="31"/>
      <c r="C8" s="31"/>
      <c r="D8" s="31"/>
      <c r="E8" s="31"/>
      <c r="F8" s="32"/>
      <c r="G8" s="32"/>
      <c r="H8" s="31"/>
      <c r="I8" s="42"/>
      <c r="J8" s="43"/>
      <c r="K8" s="37"/>
      <c r="L8" s="36" t="str">
        <f>IF(Table2[[#This Row],[Item ID]]="","",PRODUCT(Table2[[#This Row],[Unit Price]]*Table2[[#This Row],[Qty]]))</f>
        <v/>
      </c>
    </row>
    <row r="9" spans="1:20" x14ac:dyDescent="0.25">
      <c r="B9" s="31"/>
      <c r="C9" s="31"/>
      <c r="D9" s="31"/>
      <c r="E9" s="31"/>
      <c r="F9" s="32"/>
      <c r="G9" s="32"/>
      <c r="H9" s="31"/>
      <c r="I9" s="42"/>
      <c r="J9" s="43"/>
      <c r="K9" s="37"/>
      <c r="L9" s="36" t="str">
        <f>IF(Table2[[#This Row],[Item ID]]="","",PRODUCT(Table2[[#This Row],[Unit Price]]*Table2[[#This Row],[Qty]]))</f>
        <v/>
      </c>
    </row>
    <row r="10" spans="1:20" x14ac:dyDescent="0.25">
      <c r="B10" s="31"/>
      <c r="C10" s="31"/>
      <c r="D10" s="31"/>
      <c r="E10" s="31"/>
      <c r="F10" s="32"/>
      <c r="G10" s="32"/>
      <c r="H10" s="31"/>
      <c r="I10" s="42"/>
      <c r="J10" s="43"/>
      <c r="K10" s="37"/>
      <c r="L10" s="36" t="str">
        <f>IF(Table2[[#This Row],[Item ID]]="","",PRODUCT(Table2[[#This Row],[Unit Price]]*Table2[[#This Row],[Qty]]))</f>
        <v/>
      </c>
    </row>
    <row r="11" spans="1:20" x14ac:dyDescent="0.25">
      <c r="B11" s="31"/>
      <c r="C11" s="31"/>
      <c r="D11" s="31"/>
      <c r="E11" s="31"/>
      <c r="F11" s="32"/>
      <c r="G11" s="32"/>
      <c r="H11" s="31"/>
      <c r="I11" s="42"/>
      <c r="J11" s="43"/>
      <c r="K11" s="37"/>
      <c r="L11" s="36" t="str">
        <f>IF(Table2[[#This Row],[Item ID]]="","",PRODUCT(Table2[[#This Row],[Unit Price]]*Table2[[#This Row],[Qty]]))</f>
        <v/>
      </c>
    </row>
    <row r="12" spans="1:20" x14ac:dyDescent="0.25">
      <c r="B12" s="31"/>
      <c r="C12" s="31"/>
      <c r="D12" s="31"/>
      <c r="E12" s="31"/>
      <c r="F12" s="32"/>
      <c r="G12" s="32"/>
      <c r="H12" s="31"/>
      <c r="I12" s="42"/>
      <c r="J12" s="43"/>
      <c r="K12" s="37"/>
      <c r="L12" s="36" t="str">
        <f>IF(Table2[[#This Row],[Item ID]]="","",PRODUCT(Table2[[#This Row],[Unit Price]]*Table2[[#This Row],[Qty]]))</f>
        <v/>
      </c>
    </row>
    <row r="13" spans="1:20" x14ac:dyDescent="0.25">
      <c r="B13" s="31"/>
      <c r="C13" s="31"/>
      <c r="D13" s="31"/>
      <c r="E13" s="31"/>
      <c r="F13" s="32"/>
      <c r="G13" s="32"/>
      <c r="H13" s="31"/>
      <c r="I13" s="42"/>
      <c r="J13" s="43"/>
      <c r="K13" s="37"/>
      <c r="L13" s="36" t="str">
        <f>IF(Table2[[#This Row],[Item ID]]="","",PRODUCT(Table2[[#This Row],[Unit Price]]*Table2[[#This Row],[Qty]]))</f>
        <v/>
      </c>
    </row>
    <row r="14" spans="1:20" x14ac:dyDescent="0.25">
      <c r="B14" s="31"/>
      <c r="C14" s="31"/>
      <c r="D14" s="31"/>
      <c r="E14" s="31"/>
      <c r="F14" s="32"/>
      <c r="G14" s="32"/>
      <c r="H14" s="31"/>
      <c r="I14" s="42"/>
      <c r="J14" s="43"/>
      <c r="K14" s="37"/>
      <c r="L14" s="36" t="str">
        <f>IF(Table2[[#This Row],[Item ID]]="","",PRODUCT(Table2[[#This Row],[Unit Price]]*Table2[[#This Row],[Qty]]))</f>
        <v/>
      </c>
    </row>
    <row r="15" spans="1:20" x14ac:dyDescent="0.25">
      <c r="B15" s="31"/>
      <c r="C15" s="31"/>
      <c r="D15" s="31"/>
      <c r="E15" s="31"/>
      <c r="F15" s="32"/>
      <c r="G15" s="32"/>
      <c r="H15" s="31"/>
      <c r="I15" s="42"/>
      <c r="J15" s="43"/>
      <c r="K15" s="37"/>
      <c r="L15" s="36" t="str">
        <f>IF(Table2[[#This Row],[Item ID]]="","",PRODUCT(Table2[[#This Row],[Unit Price]]*Table2[[#This Row],[Qty]]))</f>
        <v/>
      </c>
    </row>
    <row r="16" spans="1:20" x14ac:dyDescent="0.25">
      <c r="B16" s="31"/>
      <c r="C16" s="31"/>
      <c r="D16" s="31"/>
      <c r="E16" s="31"/>
      <c r="F16" s="32"/>
      <c r="G16" s="32"/>
      <c r="H16" s="31"/>
      <c r="I16" s="42"/>
      <c r="J16" s="43"/>
      <c r="K16" s="37"/>
      <c r="L16" s="36" t="str">
        <f>IF(Table2[[#This Row],[Item ID]]="","",PRODUCT(Table2[[#This Row],[Unit Price]]*Table2[[#This Row],[Qty]]))</f>
        <v/>
      </c>
    </row>
    <row r="17" spans="2:12" x14ac:dyDescent="0.25">
      <c r="B17" s="31"/>
      <c r="C17" s="31"/>
      <c r="D17" s="31"/>
      <c r="E17" s="31"/>
      <c r="F17" s="32"/>
      <c r="G17" s="32"/>
      <c r="H17" s="31"/>
      <c r="I17" s="42"/>
      <c r="J17" s="43"/>
      <c r="K17" s="37"/>
      <c r="L17" s="36" t="str">
        <f>IF(Table2[[#This Row],[Item ID]]="","",PRODUCT(Table2[[#This Row],[Unit Price]]*Table2[[#This Row],[Qty]]))</f>
        <v/>
      </c>
    </row>
    <row r="18" spans="2:12" x14ac:dyDescent="0.25">
      <c r="B18" s="31"/>
      <c r="C18" s="31"/>
      <c r="D18" s="31"/>
      <c r="E18" s="31"/>
      <c r="F18" s="32"/>
      <c r="G18" s="32"/>
      <c r="H18" s="31"/>
      <c r="I18" s="42"/>
      <c r="J18" s="43"/>
      <c r="K18" s="37"/>
      <c r="L18" s="36" t="str">
        <f>IF(Table2[[#This Row],[Item ID]]="","",PRODUCT(Table2[[#This Row],[Unit Price]]*Table2[[#This Row],[Qty]]))</f>
        <v/>
      </c>
    </row>
    <row r="19" spans="2:12" x14ac:dyDescent="0.25">
      <c r="B19" s="31"/>
      <c r="C19" s="31"/>
      <c r="D19" s="31"/>
      <c r="E19" s="31"/>
      <c r="F19" s="32"/>
      <c r="G19" s="32"/>
      <c r="H19" s="31"/>
      <c r="I19" s="42"/>
      <c r="J19" s="43"/>
      <c r="K19" s="37"/>
      <c r="L19" s="36" t="str">
        <f>IF(Table2[[#This Row],[Item ID]]="","",PRODUCT(Table2[[#This Row],[Unit Price]]*Table2[[#This Row],[Qty]]))</f>
        <v/>
      </c>
    </row>
  </sheetData>
  <conditionalFormatting sqref="A1:L1">
    <cfRule type="notContainsBlanks" dxfId="9" priority="2">
      <formula>LEN(TRIM(A1))&gt;0</formula>
    </cfRule>
    <cfRule type="containsBlanks" dxfId="8" priority="3">
      <formula>LEN(TRIM(A1))=0</formula>
    </cfRule>
  </conditionalFormatting>
  <conditionalFormatting sqref="B7:K19 A2:K6 L2:L19 A7:A1048576">
    <cfRule type="expression" dxfId="7" priority="1">
      <formula>$A2&lt;&gt;""</formula>
    </cfRule>
  </conditionalFormatting>
  <conditionalFormatting sqref="B20:L1048576">
    <cfRule type="expression" dxfId="6" priority="7">
      <formula>$A7&lt;&gt;""</formula>
    </cfRule>
  </conditionalFormatting>
  <pageMargins left="0.7" right="0.7" top="0.75" bottom="0.75" header="0.3" footer="0.3"/>
  <pageSetup paperSize="9" scale="34" fitToHeight="0"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1B98E7-D2FB-41E2-9F0C-F580A7997DDE}">
  <sheetPr codeName="Sheet5"/>
  <dimension ref="A1:H14"/>
  <sheetViews>
    <sheetView showGridLines="0" zoomScale="130" zoomScaleNormal="130" workbookViewId="0">
      <pane ySplit="1" topLeftCell="A2" activePane="bottomLeft" state="frozen"/>
      <selection pane="bottomLeft" activeCell="G26" sqref="G26"/>
    </sheetView>
  </sheetViews>
  <sheetFormatPr defaultRowHeight="15" x14ac:dyDescent="0.25"/>
  <cols>
    <col min="1" max="1" width="9.28515625" style="29" customWidth="1"/>
    <col min="2" max="3" width="20.7109375" style="29" customWidth="1"/>
    <col min="4" max="4" width="8.85546875" style="29"/>
    <col min="5" max="5" width="20.7109375" style="38" customWidth="1"/>
    <col min="6" max="6" width="11.28515625" style="29" customWidth="1"/>
    <col min="7" max="7" width="20.7109375" style="29" customWidth="1"/>
    <col min="8" max="8" width="14.7109375" style="29" customWidth="1"/>
  </cols>
  <sheetData>
    <row r="1" spans="1:8" ht="15.75" x14ac:dyDescent="0.25">
      <c r="A1" s="5" t="s">
        <v>0</v>
      </c>
      <c r="B1" s="5" t="s">
        <v>24</v>
      </c>
      <c r="C1" s="5" t="s">
        <v>2</v>
      </c>
      <c r="D1" s="5" t="s">
        <v>3</v>
      </c>
      <c r="E1" s="39" t="s">
        <v>5</v>
      </c>
      <c r="F1" s="5" t="s">
        <v>7</v>
      </c>
      <c r="G1" s="5" t="s">
        <v>10</v>
      </c>
      <c r="H1" s="5" t="s">
        <v>29</v>
      </c>
    </row>
    <row r="2" spans="1:8" x14ac:dyDescent="0.25">
      <c r="A2" s="29">
        <v>1001</v>
      </c>
      <c r="B2" s="29" t="s">
        <v>63</v>
      </c>
      <c r="C2" s="29" t="s">
        <v>64</v>
      </c>
      <c r="D2" s="29" t="s">
        <v>65</v>
      </c>
      <c r="E2" s="38">
        <v>20</v>
      </c>
      <c r="F2" s="29">
        <v>2</v>
      </c>
      <c r="G2" s="38">
        <f t="shared" ref="G2:G14" si="0">IF(A2="","",PRODUCT(E2*F2))</f>
        <v>40</v>
      </c>
      <c r="H2" s="44">
        <v>46240</v>
      </c>
    </row>
    <row r="3" spans="1:8" x14ac:dyDescent="0.25">
      <c r="A3" s="29">
        <v>1002</v>
      </c>
      <c r="B3" s="29" t="s">
        <v>67</v>
      </c>
      <c r="C3" s="29" t="s">
        <v>68</v>
      </c>
      <c r="D3" s="29" t="s">
        <v>65</v>
      </c>
      <c r="E3" s="38">
        <v>30</v>
      </c>
      <c r="F3" s="29">
        <v>50</v>
      </c>
      <c r="G3" s="38">
        <f t="shared" si="0"/>
        <v>1500</v>
      </c>
      <c r="H3" s="44">
        <v>46240</v>
      </c>
    </row>
    <row r="4" spans="1:8" x14ac:dyDescent="0.25">
      <c r="A4" s="29">
        <v>1003</v>
      </c>
      <c r="B4" s="29" t="s">
        <v>70</v>
      </c>
      <c r="C4" s="29" t="s">
        <v>71</v>
      </c>
      <c r="D4" s="29" t="s">
        <v>65</v>
      </c>
      <c r="E4" s="38">
        <v>12</v>
      </c>
      <c r="F4" s="29">
        <v>250</v>
      </c>
      <c r="G4" s="38">
        <f t="shared" si="0"/>
        <v>3000</v>
      </c>
      <c r="H4" s="44">
        <v>46240</v>
      </c>
    </row>
    <row r="5" spans="1:8" x14ac:dyDescent="0.25">
      <c r="A5" s="29">
        <v>1001</v>
      </c>
      <c r="B5" s="29" t="s">
        <v>63</v>
      </c>
      <c r="C5" s="29" t="s">
        <v>64</v>
      </c>
      <c r="D5" s="29" t="s">
        <v>65</v>
      </c>
      <c r="E5" s="38">
        <v>20</v>
      </c>
      <c r="F5" s="29">
        <v>10</v>
      </c>
      <c r="G5" s="38">
        <f t="shared" si="0"/>
        <v>200</v>
      </c>
      <c r="H5" s="44" t="s">
        <v>73</v>
      </c>
    </row>
    <row r="6" spans="1:8" x14ac:dyDescent="0.25">
      <c r="G6" s="38" t="str">
        <f t="shared" si="0"/>
        <v/>
      </c>
      <c r="H6" s="44"/>
    </row>
    <row r="7" spans="1:8" x14ac:dyDescent="0.25">
      <c r="G7" s="38" t="str">
        <f t="shared" si="0"/>
        <v/>
      </c>
      <c r="H7" s="44"/>
    </row>
    <row r="8" spans="1:8" x14ac:dyDescent="0.25">
      <c r="G8" s="38" t="str">
        <f t="shared" si="0"/>
        <v/>
      </c>
      <c r="H8" s="44"/>
    </row>
    <row r="9" spans="1:8" x14ac:dyDescent="0.25">
      <c r="G9" s="38" t="str">
        <f t="shared" si="0"/>
        <v/>
      </c>
      <c r="H9" s="44"/>
    </row>
    <row r="10" spans="1:8" x14ac:dyDescent="0.25">
      <c r="G10" s="38" t="str">
        <f t="shared" si="0"/>
        <v/>
      </c>
      <c r="H10" s="44"/>
    </row>
    <row r="11" spans="1:8" x14ac:dyDescent="0.25">
      <c r="G11" s="38" t="str">
        <f t="shared" si="0"/>
        <v/>
      </c>
      <c r="H11" s="44"/>
    </row>
    <row r="12" spans="1:8" x14ac:dyDescent="0.25">
      <c r="G12" s="38" t="str">
        <f t="shared" si="0"/>
        <v/>
      </c>
      <c r="H12" s="44"/>
    </row>
    <row r="13" spans="1:8" x14ac:dyDescent="0.25">
      <c r="G13" s="38" t="str">
        <f t="shared" si="0"/>
        <v/>
      </c>
      <c r="H13" s="44"/>
    </row>
    <row r="14" spans="1:8" x14ac:dyDescent="0.25">
      <c r="G14" s="38" t="str">
        <f t="shared" si="0"/>
        <v/>
      </c>
      <c r="H14" s="44"/>
    </row>
  </sheetData>
  <conditionalFormatting sqref="A2:H106">
    <cfRule type="expression" dxfId="5" priority="1">
      <formula>$A2&lt;&gt;""</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pageSetUpPr fitToPage="1"/>
  </sheetPr>
  <dimension ref="A1:V30"/>
  <sheetViews>
    <sheetView showGridLines="0" topLeftCell="F1" zoomScale="120" zoomScaleNormal="120" zoomScaleSheetLayoutView="81" workbookViewId="0">
      <pane ySplit="1" topLeftCell="A2" activePane="bottomLeft" state="frozen"/>
      <selection pane="bottomLeft" activeCell="F15" sqref="F15"/>
    </sheetView>
  </sheetViews>
  <sheetFormatPr defaultRowHeight="15" x14ac:dyDescent="0.25"/>
  <cols>
    <col min="1" max="1" width="12.7109375" customWidth="1"/>
    <col min="2" max="2" width="23.5703125" customWidth="1"/>
    <col min="3" max="3" width="16.85546875" customWidth="1"/>
    <col min="4" max="4" width="14.5703125" customWidth="1"/>
    <col min="5" max="5" width="18.28515625" style="13" customWidth="1"/>
    <col min="6" max="6" width="18.140625" style="3" customWidth="1"/>
    <col min="7" max="7" width="15.7109375" style="27" customWidth="1"/>
    <col min="8" max="8" width="14.85546875" customWidth="1"/>
    <col min="9" max="9" width="14.85546875" style="27" customWidth="1"/>
    <col min="10" max="10" width="15.42578125" customWidth="1"/>
    <col min="11" max="11" width="13.140625" customWidth="1"/>
    <col min="12" max="12" width="19.7109375" style="3" customWidth="1"/>
    <col min="13" max="13" width="18.85546875" style="3" customWidth="1"/>
    <col min="14" max="14" width="20.7109375" style="3" customWidth="1"/>
    <col min="15" max="15" width="14.28515625" customWidth="1"/>
    <col min="16" max="16" width="15" customWidth="1"/>
    <col min="17" max="17" width="12.42578125" hidden="1" customWidth="1"/>
    <col min="18" max="19" width="17.28515625" customWidth="1"/>
    <col min="20" max="20" width="16.28515625" customWidth="1"/>
    <col min="21" max="21" width="19.5703125" customWidth="1"/>
  </cols>
  <sheetData>
    <row r="1" spans="1:22" s="17" customFormat="1" ht="28.9" customHeight="1" x14ac:dyDescent="0.25">
      <c r="A1" s="14" t="s">
        <v>0</v>
      </c>
      <c r="B1" s="14" t="s">
        <v>1</v>
      </c>
      <c r="C1" s="14" t="s">
        <v>2</v>
      </c>
      <c r="D1" s="14" t="s">
        <v>3</v>
      </c>
      <c r="E1" s="15" t="s">
        <v>4</v>
      </c>
      <c r="F1" s="16" t="s">
        <v>8</v>
      </c>
      <c r="G1" s="28" t="s">
        <v>22</v>
      </c>
      <c r="H1" s="14" t="s">
        <v>23</v>
      </c>
      <c r="I1" s="28" t="s">
        <v>21</v>
      </c>
      <c r="J1" s="14" t="s">
        <v>6</v>
      </c>
      <c r="K1" s="14" t="s">
        <v>9</v>
      </c>
      <c r="L1" s="16" t="s">
        <v>10</v>
      </c>
      <c r="M1" s="16" t="s">
        <v>12</v>
      </c>
      <c r="N1" s="16" t="s">
        <v>11</v>
      </c>
      <c r="O1" s="14" t="s">
        <v>13</v>
      </c>
      <c r="P1" s="14" t="s">
        <v>14</v>
      </c>
      <c r="Q1" s="23" t="s">
        <v>18</v>
      </c>
      <c r="R1" s="41" t="s">
        <v>27</v>
      </c>
      <c r="S1" s="24" t="s">
        <v>19</v>
      </c>
      <c r="T1" s="24" t="s">
        <v>12</v>
      </c>
      <c r="U1" s="24" t="s">
        <v>20</v>
      </c>
      <c r="V1" s="17" t="s">
        <v>28</v>
      </c>
    </row>
    <row r="2" spans="1:22" x14ac:dyDescent="0.25">
      <c r="A2" s="31">
        <f t="shared" ref="A2:A30" si="0">IF(item_data="","",item_data)</f>
        <v>1001</v>
      </c>
      <c r="B2" s="31" t="str">
        <f>IF(A2="","",VLOOKUP(Table2426[[#This Row],[Item ID]],data,2,FALSE))</f>
        <v>BEAR BRAND</v>
      </c>
      <c r="C2" s="31" t="str">
        <f>IF(A2="","",VLOOKUP(Table2426[[#This Row],[Item ID]],data,3,FALSE))</f>
        <v>POWDER MILK</v>
      </c>
      <c r="D2" s="31" t="str">
        <f>IF(A2="","",VLOOKUP(Table2426[[#This Row],[Item ID]],data,4,FALSE))</f>
        <v>Per Box</v>
      </c>
      <c r="E2" s="36">
        <f>IF(A2="","",VLOOKUP(Table2426[[#This Row],[Item ID]],data,5,FALSE))</f>
        <v>15</v>
      </c>
      <c r="F2" s="32">
        <f>IF(A2="","",VLOOKUP(Table2426[[#This Row],[Item ID]],data,6,FALSE))</f>
        <v>20</v>
      </c>
      <c r="G2" s="37">
        <f>IF(Table2426[[#This Row],[Item ID]]="","",VLOOKUP(Table2426[[#This Row],[Item ID]],MASTER_LIST,9,0))</f>
        <v>46242</v>
      </c>
      <c r="H2" s="31">
        <f t="shared" ref="H2:H30" ca="1" si="1">IF(G2="","",G2-TODAY())</f>
        <v>-10</v>
      </c>
      <c r="I2" s="37" t="str">
        <f t="shared" ref="I2:I30" ca="1" si="2">IF(H2="","",IF(H2&lt;0,"Expired",IF(H2&lt;=30,"Near Expiry","Not Expired")))</f>
        <v>Expired</v>
      </c>
      <c r="J2" s="31">
        <f>IF(A2="","",SUMIFS(ItemMaster!H:H,ItemMaster!B:B,Table2426[[#This Row],[Item ID]]))</f>
        <v>200</v>
      </c>
      <c r="K2" s="31">
        <f>IF(A2="","",SUMIFS(Sales!F:F,Sales!A:A,Table2426[[#This Row],[Item ID]]))</f>
        <v>12</v>
      </c>
      <c r="L2" s="32">
        <f>IF(A2="","",SUMIFS(Sales!G:G,Sales!A:A,Table2426[[#This Row],[Item ID]]))</f>
        <v>240</v>
      </c>
      <c r="M2" s="32">
        <f t="shared" ref="M2:M30" si="3">IF(A2="","",ABS(SUM(E2-F2)*K2))</f>
        <v>60</v>
      </c>
      <c r="N2" s="32">
        <f>IF(A2="","",PRODUCT(Table2426[[#This Row],[Unit Price]]*Table2426[[#This Row],[Stockin Qty]]))</f>
        <v>3000</v>
      </c>
      <c r="O2" s="31">
        <f>IF(A2="","",PRODUCT(Table2426[[#This Row],[Stockin Qty]]-Table2426[[#This Row],[Sales Qty]]))</f>
        <v>188</v>
      </c>
      <c r="P2" s="33" t="str">
        <f t="shared" ref="P2:P30" si="4">IF(A2="","",IF(O2&gt;10, "Available","Re-Order"))</f>
        <v>Available</v>
      </c>
      <c r="Q2" s="22" t="str">
        <f>IF(Table2426[[#This Row],[Item ID]]="","",VLOOKUP(Table2426[[#This Row],[Item ID]],Table2[[Item ID]:[File Path]],8,FALSE))</f>
        <v>C:\Users\madro\Downloads\sample photos\66242-1.jpg</v>
      </c>
      <c r="R2" s="30"/>
      <c r="S2" s="20">
        <f>SUBTOTAL(9,L:L)</f>
        <v>4740</v>
      </c>
      <c r="T2" s="20">
        <f>SUBTOTAL(9,M:M)</f>
        <v>1310</v>
      </c>
      <c r="U2" s="20">
        <f>SUBTOTAL(9,N:N)</f>
        <v>8700</v>
      </c>
    </row>
    <row r="3" spans="1:22" x14ac:dyDescent="0.25">
      <c r="A3" s="31">
        <f t="shared" si="0"/>
        <v>1002</v>
      </c>
      <c r="B3" s="31" t="str">
        <f>IF(A3="","",VLOOKUP(Table2426[[#This Row],[Item ID]],data,2,FALSE))</f>
        <v>RC COLA</v>
      </c>
      <c r="C3" s="31" t="str">
        <f>IF(A3="","",VLOOKUP(Table2426[[#This Row],[Item ID]],data,3,FALSE))</f>
        <v>SOFTDRINKS</v>
      </c>
      <c r="D3" s="31" t="str">
        <f>IF(A3="","",VLOOKUP(Table2426[[#This Row],[Item ID]],data,4,FALSE))</f>
        <v>Per Box</v>
      </c>
      <c r="E3" s="36">
        <f>IF(A3="","",VLOOKUP(Table2426[[#This Row],[Item ID]],data,5,FALSE))</f>
        <v>20</v>
      </c>
      <c r="F3" s="32">
        <f>IF(A3="","",VLOOKUP(Table2426[[#This Row],[Item ID]],data,6,FALSE))</f>
        <v>30</v>
      </c>
      <c r="G3" s="37">
        <f>IF(Table2426[[#This Row],[Item ID]]="","",VLOOKUP(Table2426[[#This Row],[Item ID]],MASTER_LIST,9,0))</f>
        <v>46298</v>
      </c>
      <c r="H3" s="31">
        <f t="shared" ca="1" si="1"/>
        <v>46</v>
      </c>
      <c r="I3" s="37" t="str">
        <f t="shared" ca="1" si="2"/>
        <v>Not Expired</v>
      </c>
      <c r="J3" s="31">
        <f>IF(A3="","",SUMIFS(ItemMaster!H:H,ItemMaster!B:B,Table2426[[#This Row],[Item ID]]))</f>
        <v>150</v>
      </c>
      <c r="K3" s="31">
        <f>IF(A3="","",SUMIFS(Sales!F:F,Sales!A:A,Table2426[[#This Row],[Item ID]]))</f>
        <v>50</v>
      </c>
      <c r="L3" s="32">
        <f>IF(A3="","",SUMIFS(Sales!G:G,Sales!A:A,Table2426[[#This Row],[Item ID]]))</f>
        <v>1500</v>
      </c>
      <c r="M3" s="32">
        <f t="shared" si="3"/>
        <v>500</v>
      </c>
      <c r="N3" s="32">
        <f>IF(A3="","",PRODUCT(Table2426[[#This Row],[Unit Price]]*Table2426[[#This Row],[Stockin Qty]]))</f>
        <v>3000</v>
      </c>
      <c r="O3" s="31">
        <f>IF(A3="","",PRODUCT(Table2426[[#This Row],[Stockin Qty]]-Table2426[[#This Row],[Sales Qty]]))</f>
        <v>100</v>
      </c>
      <c r="P3" s="33" t="str">
        <f t="shared" si="4"/>
        <v>Available</v>
      </c>
      <c r="Q3" s="22" t="str">
        <f>IF(Table2426[[#This Row],[Item ID]]="","",VLOOKUP(Table2426[[#This Row],[Item ID]],Table2[[Item ID]:[File Path]],8,FALSE))</f>
        <v>C:\Users\madro\Downloads\sample photos\63bbb3376d42d.jpg</v>
      </c>
      <c r="R3" s="30"/>
    </row>
    <row r="4" spans="1:22" x14ac:dyDescent="0.25">
      <c r="A4" s="31">
        <f t="shared" si="0"/>
        <v>1003</v>
      </c>
      <c r="B4" s="31" t="str">
        <f>IF(A4="","",VLOOKUP(Table2426[[#This Row],[Item ID]],data,2,FALSE))</f>
        <v>CREAM 0</v>
      </c>
      <c r="C4" s="31" t="str">
        <f>IF(A4="","",VLOOKUP(Table2426[[#This Row],[Item ID]],data,3,FALSE))</f>
        <v>BISCUIT</v>
      </c>
      <c r="D4" s="31" t="str">
        <f>IF(A4="","",VLOOKUP(Table2426[[#This Row],[Item ID]],data,4,FALSE))</f>
        <v>Per Pc</v>
      </c>
      <c r="E4" s="36">
        <f>IF(A4="","",VLOOKUP(Table2426[[#This Row],[Item ID]],data,5,FALSE))</f>
        <v>9</v>
      </c>
      <c r="F4" s="32">
        <f>IF(A4="","",VLOOKUP(Table2426[[#This Row],[Item ID]],data,6,FALSE))</f>
        <v>12</v>
      </c>
      <c r="G4" s="37" t="str">
        <f>IF(Table2426[[#This Row],[Item ID]]="","",VLOOKUP(Table2426[[#This Row],[Item ID]],MASTER_LIST,9,0))</f>
        <v>18-08-2026</v>
      </c>
      <c r="H4" s="31">
        <f t="shared" ca="1" si="1"/>
        <v>0</v>
      </c>
      <c r="I4" s="37" t="str">
        <f t="shared" ca="1" si="2"/>
        <v>Near Expiry</v>
      </c>
      <c r="J4" s="31">
        <f>IF(A4="","",SUMIFS(ItemMaster!H:H,ItemMaster!B:B,Table2426[[#This Row],[Item ID]]))</f>
        <v>300</v>
      </c>
      <c r="K4" s="31">
        <f>IF(A4="","",SUMIFS(Sales!F:F,Sales!A:A,Table2426[[#This Row],[Item ID]]))</f>
        <v>250</v>
      </c>
      <c r="L4" s="32">
        <f>IF(A4="","",SUMIFS(Sales!G:G,Sales!A:A,Table2426[[#This Row],[Item ID]]))</f>
        <v>3000</v>
      </c>
      <c r="M4" s="32">
        <f t="shared" si="3"/>
        <v>750</v>
      </c>
      <c r="N4" s="32">
        <f>IF(A4="","",PRODUCT(Table2426[[#This Row],[Unit Price]]*Table2426[[#This Row],[Stockin Qty]]))</f>
        <v>2700</v>
      </c>
      <c r="O4" s="31">
        <f>IF(A4="","",PRODUCT(Table2426[[#This Row],[Stockin Qty]]-Table2426[[#This Row],[Sales Qty]]))</f>
        <v>50</v>
      </c>
      <c r="P4" s="33" t="str">
        <f t="shared" si="4"/>
        <v>Available</v>
      </c>
      <c r="Q4" s="22" t="str">
        <f>IF(Table2426[[#This Row],[Item ID]]="","",VLOOKUP(Table2426[[#This Row],[Item ID]],Table2[[Item ID]:[File Path]],8,FALSE))</f>
        <v>C:\Users\madro\Downloads\sample photos\Cream-O-Cookies-Vanilla-90g.jpg</v>
      </c>
      <c r="R4" s="30"/>
    </row>
    <row r="5" spans="1:22" x14ac:dyDescent="0.25">
      <c r="A5" s="31" t="str">
        <f t="shared" si="0"/>
        <v/>
      </c>
      <c r="B5" s="31" t="str">
        <f>IF(A5="","",VLOOKUP(Table2426[[#This Row],[Item ID]],data,2,FALSE))</f>
        <v/>
      </c>
      <c r="C5" s="31" t="str">
        <f>IF(A5="","",VLOOKUP(Table2426[[#This Row],[Item ID]],data,3,FALSE))</f>
        <v/>
      </c>
      <c r="D5" s="31" t="str">
        <f>IF(A5="","",VLOOKUP(Table2426[[#This Row],[Item ID]],data,4,FALSE))</f>
        <v/>
      </c>
      <c r="E5" s="36" t="str">
        <f>IF(A5="","",VLOOKUP(Table2426[[#This Row],[Item ID]],data,5,FALSE))</f>
        <v/>
      </c>
      <c r="F5" s="32" t="str">
        <f>IF(A5="","",VLOOKUP(Table2426[[#This Row],[Item ID]],data,6,FALSE))</f>
        <v/>
      </c>
      <c r="G5" s="37" t="str">
        <f>IF(Table2426[[#This Row],[Item ID]]="","",VLOOKUP(Table2426[[#This Row],[Item ID]],MASTER_LIST,9,0))</f>
        <v/>
      </c>
      <c r="H5" s="31" t="str">
        <f t="shared" ca="1" si="1"/>
        <v/>
      </c>
      <c r="I5" s="37" t="str">
        <f t="shared" ca="1" si="2"/>
        <v/>
      </c>
      <c r="J5" s="31" t="str">
        <f>IF(A5="","",SUMIFS(ItemMaster!H:H,ItemMaster!B:B,Table2426[[#This Row],[Item ID]]))</f>
        <v/>
      </c>
      <c r="K5" s="31" t="str">
        <f>IF(A5="","",SUMIFS(Sales!F:F,Sales!A:A,Table2426[[#This Row],[Item ID]]))</f>
        <v/>
      </c>
      <c r="L5" s="32" t="str">
        <f>IF(A5="","",SUMIFS(Sales!G:G,Sales!A:A,Table2426[[#This Row],[Item ID]]))</f>
        <v/>
      </c>
      <c r="M5" s="32" t="str">
        <f t="shared" si="3"/>
        <v/>
      </c>
      <c r="N5" s="32" t="str">
        <f>IF(A5="","",PRODUCT(Table2426[[#This Row],[Unit Price]]*Table2426[[#This Row],[Stockin Qty]]))</f>
        <v/>
      </c>
      <c r="O5" s="31" t="str">
        <f>IF(A5="","",PRODUCT(Table2426[[#This Row],[Stockin Qty]]-Table2426[[#This Row],[Sales Qty]]))</f>
        <v/>
      </c>
      <c r="P5" s="33" t="str">
        <f t="shared" si="4"/>
        <v/>
      </c>
      <c r="Q5" s="22" t="str">
        <f>IF(Table2426[[#This Row],[Item ID]]="","",VLOOKUP(Table2426[[#This Row],[Item ID]],Table2[[Item ID]:[File Path]],8,FALSE))</f>
        <v/>
      </c>
      <c r="R5" s="30"/>
    </row>
    <row r="6" spans="1:22" x14ac:dyDescent="0.25">
      <c r="A6" s="31" t="str">
        <f t="shared" si="0"/>
        <v/>
      </c>
      <c r="B6" s="31" t="str">
        <f>IF(A6="","",VLOOKUP(Table2426[[#This Row],[Item ID]],data,2,FALSE))</f>
        <v/>
      </c>
      <c r="C6" s="31" t="str">
        <f>IF(A6="","",VLOOKUP(Table2426[[#This Row],[Item ID]],data,3,FALSE))</f>
        <v/>
      </c>
      <c r="D6" s="31" t="str">
        <f>IF(A6="","",VLOOKUP(Table2426[[#This Row],[Item ID]],data,4,FALSE))</f>
        <v/>
      </c>
      <c r="E6" s="36" t="str">
        <f>IF(A6="","",VLOOKUP(Table2426[[#This Row],[Item ID]],data,5,FALSE))</f>
        <v/>
      </c>
      <c r="F6" s="32" t="str">
        <f>IF(A6="","",VLOOKUP(Table2426[[#This Row],[Item ID]],data,6,FALSE))</f>
        <v/>
      </c>
      <c r="G6" s="37" t="str">
        <f>IF(Table2426[[#This Row],[Item ID]]="","",VLOOKUP(Table2426[[#This Row],[Item ID]],MASTER_LIST,9,0))</f>
        <v/>
      </c>
      <c r="H6" s="31" t="str">
        <f t="shared" ca="1" si="1"/>
        <v/>
      </c>
      <c r="I6" s="37" t="str">
        <f t="shared" ca="1" si="2"/>
        <v/>
      </c>
      <c r="J6" s="31" t="str">
        <f>IF(A6="","",SUMIFS(ItemMaster!H:H,ItemMaster!B:B,Table2426[[#This Row],[Item ID]]))</f>
        <v/>
      </c>
      <c r="K6" s="31" t="str">
        <f>IF(A6="","",SUMIFS(Sales!F:F,Sales!A:A,Table2426[[#This Row],[Item ID]]))</f>
        <v/>
      </c>
      <c r="L6" s="32" t="str">
        <f>IF(A6="","",SUMIFS(Sales!G:G,Sales!A:A,Table2426[[#This Row],[Item ID]]))</f>
        <v/>
      </c>
      <c r="M6" s="32" t="str">
        <f t="shared" si="3"/>
        <v/>
      </c>
      <c r="N6" s="32" t="str">
        <f>IF(A6="","",PRODUCT(Table2426[[#This Row],[Unit Price]]*Table2426[[#This Row],[Stockin Qty]]))</f>
        <v/>
      </c>
      <c r="O6" s="31" t="str">
        <f>IF(A6="","",PRODUCT(Table2426[[#This Row],[Stockin Qty]]-Table2426[[#This Row],[Sales Qty]]))</f>
        <v/>
      </c>
      <c r="P6" s="33" t="str">
        <f t="shared" si="4"/>
        <v/>
      </c>
      <c r="Q6" s="22" t="str">
        <f>IF(Table2426[[#This Row],[Item ID]]="","",VLOOKUP(Table2426[[#This Row],[Item ID]],Table2[[Item ID]:[File Path]],8,FALSE))</f>
        <v/>
      </c>
      <c r="R6" s="30"/>
      <c r="S6" s="10"/>
    </row>
    <row r="7" spans="1:22" x14ac:dyDescent="0.25">
      <c r="A7" s="31" t="str">
        <f t="shared" si="0"/>
        <v/>
      </c>
      <c r="B7" s="29" t="str">
        <f>IF(A7="","",VLOOKUP(Table2426[[#This Row],[Item ID]],data,2,FALSE))</f>
        <v/>
      </c>
      <c r="C7" s="29" t="str">
        <f>IF(A7="","",VLOOKUP(Table2426[[#This Row],[Item ID]],data,3,FALSE))</f>
        <v/>
      </c>
      <c r="D7" s="29" t="str">
        <f>IF(A7="","",VLOOKUP(Table2426[[#This Row],[Item ID]],data,4,FALSE))</f>
        <v/>
      </c>
      <c r="E7" s="38" t="str">
        <f>IF(A7="","",VLOOKUP(Table2426[[#This Row],[Item ID]],data,5,FALSE))</f>
        <v/>
      </c>
      <c r="F7" s="34" t="str">
        <f>IF(A7="","",VLOOKUP(Table2426[[#This Row],[Item ID]],data,6,FALSE))</f>
        <v/>
      </c>
      <c r="G7" s="37" t="str">
        <f>IF(Table2426[[#This Row],[Item ID]]="","",VLOOKUP(Table2426[[#This Row],[Item ID]],MASTER_LIST,9,0))</f>
        <v/>
      </c>
      <c r="H7" s="31" t="str">
        <f t="shared" ca="1" si="1"/>
        <v/>
      </c>
      <c r="I7" s="37" t="str">
        <f t="shared" ca="1" si="2"/>
        <v/>
      </c>
      <c r="J7" s="29" t="str">
        <f>IF(A7="","",SUMIFS(ItemMaster!H:H,ItemMaster!B:B,Table2426[[#This Row],[Item ID]]))</f>
        <v/>
      </c>
      <c r="K7" s="31" t="str">
        <f>IF(A7="","",SUMIFS(Sales!F:F,Sales!A:A,Table2426[[#This Row],[Item ID]]))</f>
        <v/>
      </c>
      <c r="L7" s="32" t="str">
        <f>IF(A7="","",SUMIFS(Sales!G:G,Sales!A:A,Table2426[[#This Row],[Item ID]]))</f>
        <v/>
      </c>
      <c r="M7" s="32" t="str">
        <f t="shared" si="3"/>
        <v/>
      </c>
      <c r="N7" s="32" t="str">
        <f>IF(A7="","",PRODUCT(Table2426[[#This Row],[Unit Price]]*Table2426[[#This Row],[Stockin Qty]]))</f>
        <v/>
      </c>
      <c r="O7" s="31" t="str">
        <f>IF(A7="","",PRODUCT(Table2426[[#This Row],[Stockin Qty]]-Table2426[[#This Row],[Sales Qty]]))</f>
        <v/>
      </c>
      <c r="P7" s="35" t="str">
        <f t="shared" si="4"/>
        <v/>
      </c>
      <c r="Q7" s="22" t="str">
        <f>IF(Table2426[[#This Row],[Item ID]]="","",VLOOKUP(Table2426[[#This Row],[Item ID]],Table2[[Item ID]:[File Path]],8,FALSE))</f>
        <v/>
      </c>
      <c r="R7" s="30"/>
    </row>
    <row r="8" spans="1:22" x14ac:dyDescent="0.25">
      <c r="A8" s="31" t="str">
        <f t="shared" si="0"/>
        <v/>
      </c>
      <c r="B8" s="29" t="str">
        <f>IF(A8="","",VLOOKUP(Table2426[[#This Row],[Item ID]],data,2,FALSE))</f>
        <v/>
      </c>
      <c r="C8" s="29" t="str">
        <f>IF(A8="","",VLOOKUP(Table2426[[#This Row],[Item ID]],data,3,FALSE))</f>
        <v/>
      </c>
      <c r="D8" s="29" t="str">
        <f>IF(A8="","",VLOOKUP(Table2426[[#This Row],[Item ID]],data,4,FALSE))</f>
        <v/>
      </c>
      <c r="E8" s="38" t="str">
        <f>IF(A8="","",VLOOKUP(Table2426[[#This Row],[Item ID]],data,5,FALSE))</f>
        <v/>
      </c>
      <c r="F8" s="34" t="str">
        <f>IF(A8="","",VLOOKUP(Table2426[[#This Row],[Item ID]],data,6,FALSE))</f>
        <v/>
      </c>
      <c r="G8" s="37" t="str">
        <f>IF(Table2426[[#This Row],[Item ID]]="","",VLOOKUP(Table2426[[#This Row],[Item ID]],MASTER_LIST,9,0))</f>
        <v/>
      </c>
      <c r="H8" s="31" t="str">
        <f t="shared" ca="1" si="1"/>
        <v/>
      </c>
      <c r="I8" s="37" t="str">
        <f t="shared" ca="1" si="2"/>
        <v/>
      </c>
      <c r="J8" s="29" t="str">
        <f>IF(A8="","",SUMIFS(ItemMaster!H:H,ItemMaster!B:B,Table2426[[#This Row],[Item ID]]))</f>
        <v/>
      </c>
      <c r="K8" s="31" t="str">
        <f>IF(A8="","",SUMIFS(Sales!F:F,Sales!A:A,Table2426[[#This Row],[Item ID]]))</f>
        <v/>
      </c>
      <c r="L8" s="32" t="str">
        <f>IF(A8="","",SUMIFS(Sales!G:G,Sales!A:A,Table2426[[#This Row],[Item ID]]))</f>
        <v/>
      </c>
      <c r="M8" s="32" t="str">
        <f t="shared" si="3"/>
        <v/>
      </c>
      <c r="N8" s="32" t="str">
        <f>IF(A8="","",PRODUCT(Table2426[[#This Row],[Unit Price]]*Table2426[[#This Row],[Stockin Qty]]))</f>
        <v/>
      </c>
      <c r="O8" s="31" t="str">
        <f>IF(A8="","",PRODUCT(Table2426[[#This Row],[Stockin Qty]]-Table2426[[#This Row],[Sales Qty]]))</f>
        <v/>
      </c>
      <c r="P8" s="35" t="str">
        <f t="shared" si="4"/>
        <v/>
      </c>
      <c r="Q8" s="22" t="str">
        <f>IF(Table2426[[#This Row],[Item ID]]="","",VLOOKUP(Table2426[[#This Row],[Item ID]],Table2[[Item ID]:[File Path]],8,FALSE))</f>
        <v/>
      </c>
      <c r="R8" s="30"/>
    </row>
    <row r="9" spans="1:22" x14ac:dyDescent="0.25">
      <c r="A9" s="31" t="str">
        <f t="shared" si="0"/>
        <v/>
      </c>
      <c r="B9" s="31" t="str">
        <f>IF(A9="","",VLOOKUP(Table2426[[#This Row],[Item ID]],data,2,FALSE))</f>
        <v/>
      </c>
      <c r="C9" s="31" t="str">
        <f>IF(A9="","",VLOOKUP(Table2426[[#This Row],[Item ID]],data,3,FALSE))</f>
        <v/>
      </c>
      <c r="D9" s="31" t="str">
        <f>IF(A9="","",VLOOKUP(Table2426[[#This Row],[Item ID]],data,4,FALSE))</f>
        <v/>
      </c>
      <c r="E9" s="36" t="str">
        <f>IF(A9="","",VLOOKUP(Table2426[[#This Row],[Item ID]],data,5,FALSE))</f>
        <v/>
      </c>
      <c r="F9" s="32" t="str">
        <f>IF(A9="","",VLOOKUP(Table2426[[#This Row],[Item ID]],data,6,FALSE))</f>
        <v/>
      </c>
      <c r="G9" s="37" t="str">
        <f>IF(Table2426[[#This Row],[Item ID]]="","",VLOOKUP(Table2426[[#This Row],[Item ID]],MASTER_LIST,9,0))</f>
        <v/>
      </c>
      <c r="H9" s="31" t="str">
        <f t="shared" ca="1" si="1"/>
        <v/>
      </c>
      <c r="I9" s="37" t="str">
        <f t="shared" ca="1" si="2"/>
        <v/>
      </c>
      <c r="J9" s="31" t="str">
        <f>IF(A9="","",SUMIFS(ItemMaster!H:H,ItemMaster!B:B,Table2426[[#This Row],[Item ID]]))</f>
        <v/>
      </c>
      <c r="K9" s="31" t="str">
        <f>IF(A9="","",SUMIFS(Sales!F:F,Sales!A:A,Table2426[[#This Row],[Item ID]]))</f>
        <v/>
      </c>
      <c r="L9" s="32" t="str">
        <f>IF(A9="","",SUMIFS(Sales!G:G,Sales!A:A,Table2426[[#This Row],[Item ID]]))</f>
        <v/>
      </c>
      <c r="M9" s="32" t="str">
        <f t="shared" si="3"/>
        <v/>
      </c>
      <c r="N9" s="32" t="str">
        <f>IF(A9="","",PRODUCT(Table2426[[#This Row],[Unit Price]]*Table2426[[#This Row],[Stockin Qty]]))</f>
        <v/>
      </c>
      <c r="O9" s="31" t="str">
        <f>IF(A9="","",PRODUCT(Table2426[[#This Row],[Stockin Qty]]-Table2426[[#This Row],[Sales Qty]]))</f>
        <v/>
      </c>
      <c r="P9" s="33" t="str">
        <f t="shared" si="4"/>
        <v/>
      </c>
      <c r="Q9" s="22" t="str">
        <f>IF(Table2426[[#This Row],[Item ID]]="","",VLOOKUP(Table2426[[#This Row],[Item ID]],Table2[[Item ID]:[File Path]],8,FALSE))</f>
        <v/>
      </c>
      <c r="R9" s="30"/>
    </row>
    <row r="10" spans="1:22" x14ac:dyDescent="0.25">
      <c r="A10" s="1" t="str">
        <f t="shared" si="0"/>
        <v/>
      </c>
      <c r="B10" s="1" t="str">
        <f>IF(A10="","",VLOOKUP(Table2426[[#This Row],[Item ID]],data,2,FALSE))</f>
        <v/>
      </c>
      <c r="C10" s="1" t="str">
        <f>IF(A10="","",VLOOKUP(Table2426[[#This Row],[Item ID]],data,3,FALSE))</f>
        <v/>
      </c>
      <c r="D10" s="1" t="str">
        <f>IF(A10="","",VLOOKUP(Table2426[[#This Row],[Item ID]],data,4,FALSE))</f>
        <v/>
      </c>
      <c r="E10" s="11" t="str">
        <f>IF(A10="","",VLOOKUP(Table2426[[#This Row],[Item ID]],data,5,FALSE))</f>
        <v/>
      </c>
      <c r="F10" s="2" t="str">
        <f>IF(A10="","",VLOOKUP(Table2426[[#This Row],[Item ID]],data,6,FALSE))</f>
        <v/>
      </c>
      <c r="G10" s="37" t="str">
        <f>IF(Table2426[[#This Row],[Item ID]]="","",VLOOKUP(Table2426[[#This Row],[Item ID]],MASTER_LIST,9,0))</f>
        <v/>
      </c>
      <c r="H10" s="1" t="str">
        <f t="shared" ca="1" si="1"/>
        <v/>
      </c>
      <c r="I10" s="25" t="str">
        <f t="shared" ca="1" si="2"/>
        <v/>
      </c>
      <c r="J10" s="1" t="str">
        <f>IF(A10="","",SUMIFS(ItemMaster!H:H,ItemMaster!B:B,Table2426[[#This Row],[Item ID]]))</f>
        <v/>
      </c>
      <c r="K10" s="31" t="str">
        <f>IF(A10="","",SUMIFS(Sales!F:F,Sales!A:A,Table2426[[#This Row],[Item ID]]))</f>
        <v/>
      </c>
      <c r="L10" s="2" t="str">
        <f>IF(A10="","",SUMIFS(Sales!G:G,Sales!A:A,Table2426[[#This Row],[Item ID]]))</f>
        <v/>
      </c>
      <c r="M10" s="2" t="str">
        <f t="shared" si="3"/>
        <v/>
      </c>
      <c r="N10" s="2" t="str">
        <f>IF(A10="","",PRODUCT(Table2426[[#This Row],[Unit Price]]*Table2426[[#This Row],[Stockin Qty]]))</f>
        <v/>
      </c>
      <c r="O10" s="1" t="str">
        <f>IF(A10="","",PRODUCT(Table2426[[#This Row],[Stockin Qty]]-Table2426[[#This Row],[Sales Qty]]))</f>
        <v/>
      </c>
      <c r="P10" s="4" t="str">
        <f t="shared" si="4"/>
        <v/>
      </c>
      <c r="Q10" s="22" t="str">
        <f>IF(Table2426[[#This Row],[Item ID]]="","",VLOOKUP(Table2426[[#This Row],[Item ID]],Table2[[Item ID]:[File Path]],8,FALSE))</f>
        <v/>
      </c>
      <c r="R10" s="30"/>
    </row>
    <row r="11" spans="1:22" x14ac:dyDescent="0.25">
      <c r="A11" s="1" t="str">
        <f t="shared" si="0"/>
        <v/>
      </c>
      <c r="B11" s="1" t="str">
        <f>IF(A11="","",VLOOKUP(Table2426[[#This Row],[Item ID]],data,2,FALSE))</f>
        <v/>
      </c>
      <c r="C11" s="1" t="str">
        <f>IF(A11="","",VLOOKUP(Table2426[[#This Row],[Item ID]],data,3,FALSE))</f>
        <v/>
      </c>
      <c r="D11" s="1" t="str">
        <f>IF(A11="","",VLOOKUP(Table2426[[#This Row],[Item ID]],data,4,FALSE))</f>
        <v/>
      </c>
      <c r="E11" s="11" t="str">
        <f>IF(A11="","",VLOOKUP(Table2426[[#This Row],[Item ID]],data,5,FALSE))</f>
        <v/>
      </c>
      <c r="F11" s="2" t="str">
        <f>IF(A11="","",VLOOKUP(Table2426[[#This Row],[Item ID]],data,6,FALSE))</f>
        <v/>
      </c>
      <c r="G11" s="37" t="str">
        <f>IF(Table2426[[#This Row],[Item ID]]="","",VLOOKUP(Table2426[[#This Row],[Item ID]],MASTER_LIST,9,0))</f>
        <v/>
      </c>
      <c r="H11" s="1" t="str">
        <f t="shared" ca="1" si="1"/>
        <v/>
      </c>
      <c r="I11" s="25" t="str">
        <f t="shared" ca="1" si="2"/>
        <v/>
      </c>
      <c r="J11" s="1" t="str">
        <f>IF(A11="","",SUMIFS(ItemMaster!H:H,ItemMaster!B:B,Table2426[[#This Row],[Item ID]]))</f>
        <v/>
      </c>
      <c r="K11" s="31" t="str">
        <f>IF(A11="","",SUMIFS(Sales!F:F,Sales!A:A,Table2426[[#This Row],[Item ID]]))</f>
        <v/>
      </c>
      <c r="L11" s="2" t="str">
        <f>IF(A11="","",SUMIFS(Sales!G:G,Sales!A:A,Table2426[[#This Row],[Item ID]]))</f>
        <v/>
      </c>
      <c r="M11" s="2" t="str">
        <f t="shared" si="3"/>
        <v/>
      </c>
      <c r="N11" s="2" t="str">
        <f>IF(A11="","",PRODUCT(Table2426[[#This Row],[Unit Price]]*Table2426[[#This Row],[Stockin Qty]]))</f>
        <v/>
      </c>
      <c r="O11" s="1" t="str">
        <f>IF(A11="","",PRODUCT(Table2426[[#This Row],[Stockin Qty]]-Table2426[[#This Row],[Sales Qty]]))</f>
        <v/>
      </c>
      <c r="P11" s="4" t="str">
        <f t="shared" si="4"/>
        <v/>
      </c>
      <c r="Q11" s="22" t="str">
        <f>IF(Table2426[[#This Row],[Item ID]]="","",VLOOKUP(Table2426[[#This Row],[Item ID]],Table2[[Item ID]:[File Path]],8,FALSE))</f>
        <v/>
      </c>
      <c r="R11" s="30"/>
    </row>
    <row r="12" spans="1:22" x14ac:dyDescent="0.25">
      <c r="A12" s="1" t="str">
        <f t="shared" si="0"/>
        <v/>
      </c>
      <c r="B12" s="1" t="str">
        <f>IF(A12="","",VLOOKUP(Table2426[[#This Row],[Item ID]],data,2,FALSE))</f>
        <v/>
      </c>
      <c r="C12" s="1" t="str">
        <f>IF(A12="","",VLOOKUP(Table2426[[#This Row],[Item ID]],data,3,FALSE))</f>
        <v/>
      </c>
      <c r="D12" s="1" t="str">
        <f>IF(A12="","",VLOOKUP(Table2426[[#This Row],[Item ID]],data,4,FALSE))</f>
        <v/>
      </c>
      <c r="E12" s="11" t="str">
        <f>IF(A12="","",VLOOKUP(Table2426[[#This Row],[Item ID]],data,5,FALSE))</f>
        <v/>
      </c>
      <c r="F12" s="2" t="str">
        <f>IF(A12="","",VLOOKUP(Table2426[[#This Row],[Item ID]],data,6,FALSE))</f>
        <v/>
      </c>
      <c r="G12" s="37" t="str">
        <f>IF(Table2426[[#This Row],[Item ID]]="","",VLOOKUP(Table2426[[#This Row],[Item ID]],MASTER_LIST,9,0))</f>
        <v/>
      </c>
      <c r="H12" s="1" t="str">
        <f t="shared" ca="1" si="1"/>
        <v/>
      </c>
      <c r="I12" s="25" t="str">
        <f t="shared" ca="1" si="2"/>
        <v/>
      </c>
      <c r="J12" s="1" t="str">
        <f>IF(A12="","",SUMIFS(ItemMaster!H:H,ItemMaster!B:B,Table2426[[#This Row],[Item ID]]))</f>
        <v/>
      </c>
      <c r="K12" s="31" t="str">
        <f>IF(A12="","",SUMIFS(Sales!F:F,Sales!A:A,Table2426[[#This Row],[Item ID]]))</f>
        <v/>
      </c>
      <c r="L12" s="2" t="str">
        <f>IF(A12="","",SUMIFS(Sales!G:G,Sales!A:A,Table2426[[#This Row],[Item ID]]))</f>
        <v/>
      </c>
      <c r="M12" s="2" t="str">
        <f t="shared" si="3"/>
        <v/>
      </c>
      <c r="N12" s="2" t="str">
        <f>IF(A12="","",PRODUCT(Table2426[[#This Row],[Unit Price]]*Table2426[[#This Row],[Stockin Qty]]))</f>
        <v/>
      </c>
      <c r="O12" s="1" t="str">
        <f>IF(A12="","",PRODUCT(Table2426[[#This Row],[Stockin Qty]]-Table2426[[#This Row],[Sales Qty]]))</f>
        <v/>
      </c>
      <c r="P12" s="4" t="str">
        <f t="shared" si="4"/>
        <v/>
      </c>
      <c r="Q12" s="22" t="str">
        <f>IF(Table2426[[#This Row],[Item ID]]="","",VLOOKUP(Table2426[[#This Row],[Item ID]],Table2[[Item ID]:[File Path]],8,FALSE))</f>
        <v/>
      </c>
      <c r="R12" s="30"/>
    </row>
    <row r="13" spans="1:22" x14ac:dyDescent="0.25">
      <c r="A13" s="1" t="str">
        <f t="shared" si="0"/>
        <v/>
      </c>
      <c r="B13" s="1" t="str">
        <f>IF(A13="","",VLOOKUP(Table2426[[#This Row],[Item ID]],data,2,FALSE))</f>
        <v/>
      </c>
      <c r="C13" s="1" t="str">
        <f>IF(A13="","",VLOOKUP(Table2426[[#This Row],[Item ID]],data,3,FALSE))</f>
        <v/>
      </c>
      <c r="D13" s="1" t="str">
        <f>IF(A13="","",VLOOKUP(Table2426[[#This Row],[Item ID]],data,4,FALSE))</f>
        <v/>
      </c>
      <c r="E13" s="11" t="str">
        <f>IF(A13="","",VLOOKUP(Table2426[[#This Row],[Item ID]],data,5,FALSE))</f>
        <v/>
      </c>
      <c r="F13" s="2" t="str">
        <f>IF(A13="","",VLOOKUP(Table2426[[#This Row],[Item ID]],data,6,FALSE))</f>
        <v/>
      </c>
      <c r="G13" s="37" t="str">
        <f>IF(Table2426[[#This Row],[Item ID]]="","",VLOOKUP(Table2426[[#This Row],[Item ID]],MASTER_LIST,9,0))</f>
        <v/>
      </c>
      <c r="H13" s="1" t="str">
        <f t="shared" ca="1" si="1"/>
        <v/>
      </c>
      <c r="I13" s="25" t="str">
        <f t="shared" ca="1" si="2"/>
        <v/>
      </c>
      <c r="J13" s="1" t="str">
        <f>IF(A13="","",SUMIFS(ItemMaster!H:H,ItemMaster!B:B,Table2426[[#This Row],[Item ID]]))</f>
        <v/>
      </c>
      <c r="K13" s="31" t="str">
        <f>IF(A13="","",SUMIFS(Sales!F:F,Sales!A:A,Table2426[[#This Row],[Item ID]]))</f>
        <v/>
      </c>
      <c r="L13" s="2" t="str">
        <f>IF(A13="","",SUMIFS(Sales!G:G,Sales!A:A,Table2426[[#This Row],[Item ID]]))</f>
        <v/>
      </c>
      <c r="M13" s="2" t="str">
        <f t="shared" si="3"/>
        <v/>
      </c>
      <c r="N13" s="2" t="str">
        <f>IF(A13="","",PRODUCT(Table2426[[#This Row],[Unit Price]]*Table2426[[#This Row],[Stockin Qty]]))</f>
        <v/>
      </c>
      <c r="O13" s="1" t="str">
        <f>IF(A13="","",PRODUCT(Table2426[[#This Row],[Stockin Qty]]-Table2426[[#This Row],[Sales Qty]]))</f>
        <v/>
      </c>
      <c r="P13" s="4" t="str">
        <f t="shared" si="4"/>
        <v/>
      </c>
      <c r="Q13" s="22" t="str">
        <f>IF(Table2426[[#This Row],[Item ID]]="","",VLOOKUP(Table2426[[#This Row],[Item ID]],Table2[[Item ID]:[File Path]],8,FALSE))</f>
        <v/>
      </c>
      <c r="R13" s="30"/>
    </row>
    <row r="14" spans="1:22" x14ac:dyDescent="0.25">
      <c r="A14" s="1" t="str">
        <f t="shared" si="0"/>
        <v/>
      </c>
      <c r="B14" s="7" t="str">
        <f>IF(A14="","",VLOOKUP(Table2426[[#This Row],[Item ID]],data,2,FALSE))</f>
        <v/>
      </c>
      <c r="C14" s="7" t="str">
        <f>IF(A14="","",VLOOKUP(Table2426[[#This Row],[Item ID]],data,3,FALSE))</f>
        <v/>
      </c>
      <c r="D14" s="7" t="str">
        <f>IF(A14="","",VLOOKUP(Table2426[[#This Row],[Item ID]],data,4,FALSE))</f>
        <v/>
      </c>
      <c r="E14" s="12" t="str">
        <f>IF(A14="","",VLOOKUP(Table2426[[#This Row],[Item ID]],data,5,FALSE))</f>
        <v/>
      </c>
      <c r="F14" s="8" t="str">
        <f>IF(A14="","",VLOOKUP(Table2426[[#This Row],[Item ID]],data,6,FALSE))</f>
        <v/>
      </c>
      <c r="G14" s="37" t="str">
        <f>IF(Table2426[[#This Row],[Item ID]]="","",VLOOKUP(Table2426[[#This Row],[Item ID]],MASTER_LIST,9,0))</f>
        <v/>
      </c>
      <c r="H14" s="1" t="str">
        <f t="shared" ca="1" si="1"/>
        <v/>
      </c>
      <c r="I14" s="25" t="str">
        <f t="shared" ca="1" si="2"/>
        <v/>
      </c>
      <c r="J14" s="7" t="str">
        <f>IF(A14="","",SUMIFS(ItemMaster!H:H,ItemMaster!B:B,Table2426[[#This Row],[Item ID]]))</f>
        <v/>
      </c>
      <c r="K14" s="31" t="str">
        <f>IF(A14="","",SUMIFS(Sales!F:F,Sales!A:A,Table2426[[#This Row],[Item ID]]))</f>
        <v/>
      </c>
      <c r="L14" s="2" t="str">
        <f>IF(A14="","",SUMIFS(Sales!G:G,Sales!A:A,Table2426[[#This Row],[Item ID]]))</f>
        <v/>
      </c>
      <c r="M14" s="2" t="str">
        <f t="shared" si="3"/>
        <v/>
      </c>
      <c r="N14" s="2" t="str">
        <f>IF(A14="","",PRODUCT(Table2426[[#This Row],[Unit Price]]*Table2426[[#This Row],[Stockin Qty]]))</f>
        <v/>
      </c>
      <c r="O14" s="1" t="str">
        <f>IF(A14="","",PRODUCT(Table2426[[#This Row],[Stockin Qty]]-Table2426[[#This Row],[Sales Qty]]))</f>
        <v/>
      </c>
      <c r="P14" s="9" t="str">
        <f t="shared" si="4"/>
        <v/>
      </c>
      <c r="Q14" s="22" t="str">
        <f>IF(Table2426[[#This Row],[Item ID]]="","",VLOOKUP(Table2426[[#This Row],[Item ID]],Table2[[Item ID]:[File Path]],8,FALSE))</f>
        <v/>
      </c>
      <c r="R14" s="30"/>
    </row>
    <row r="15" spans="1:22" x14ac:dyDescent="0.25">
      <c r="A15" s="1" t="str">
        <f t="shared" si="0"/>
        <v/>
      </c>
      <c r="B15" s="7" t="str">
        <f>IF(A15="","",VLOOKUP(Table2426[[#This Row],[Item ID]],data,2,FALSE))</f>
        <v/>
      </c>
      <c r="C15" s="7" t="str">
        <f>IF(A15="","",VLOOKUP(Table2426[[#This Row],[Item ID]],data,3,FALSE))</f>
        <v/>
      </c>
      <c r="D15" s="7" t="str">
        <f>IF(A15="","",VLOOKUP(Table2426[[#This Row],[Item ID]],data,4,FALSE))</f>
        <v/>
      </c>
      <c r="E15" s="12" t="str">
        <f>IF(A15="","",VLOOKUP(Table2426[[#This Row],[Item ID]],data,5,FALSE))</f>
        <v/>
      </c>
      <c r="F15" s="8" t="str">
        <f>IF(A15="","",VLOOKUP(Table2426[[#This Row],[Item ID]],data,6,FALSE))</f>
        <v/>
      </c>
      <c r="G15" s="37" t="str">
        <f>IF(Table2426[[#This Row],[Item ID]]="","",VLOOKUP(Table2426[[#This Row],[Item ID]],MASTER_LIST,9,0))</f>
        <v/>
      </c>
      <c r="H15" s="1" t="str">
        <f t="shared" ca="1" si="1"/>
        <v/>
      </c>
      <c r="I15" s="25" t="str">
        <f t="shared" ca="1" si="2"/>
        <v/>
      </c>
      <c r="J15" s="7" t="str">
        <f>IF(A15="","",SUMIFS(ItemMaster!H:H,ItemMaster!B:B,Table2426[[#This Row],[Item ID]]))</f>
        <v/>
      </c>
      <c r="K15" s="31" t="str">
        <f>IF(A15="","",SUMIFS(Sales!F:F,Sales!A:A,Table2426[[#This Row],[Item ID]]))</f>
        <v/>
      </c>
      <c r="L15" s="2" t="str">
        <f>IF(A15="","",SUMIFS(Sales!G:G,Sales!A:A,Table2426[[#This Row],[Item ID]]))</f>
        <v/>
      </c>
      <c r="M15" s="2" t="str">
        <f t="shared" si="3"/>
        <v/>
      </c>
      <c r="N15" s="2" t="str">
        <f>IF(A15="","",PRODUCT(Table2426[[#This Row],[Unit Price]]*Table2426[[#This Row],[Stockin Qty]]))</f>
        <v/>
      </c>
      <c r="O15" s="1" t="str">
        <f>IF(A15="","",PRODUCT(Table2426[[#This Row],[Stockin Qty]]-Table2426[[#This Row],[Sales Qty]]))</f>
        <v/>
      </c>
      <c r="P15" s="9" t="str">
        <f t="shared" si="4"/>
        <v/>
      </c>
      <c r="Q15" s="22" t="str">
        <f>IF(Table2426[[#This Row],[Item ID]]="","",VLOOKUP(Table2426[[#This Row],[Item ID]],Table2[[Item ID]:[File Path]],8,FALSE))</f>
        <v/>
      </c>
      <c r="R15" s="30"/>
    </row>
    <row r="16" spans="1:22" x14ac:dyDescent="0.25">
      <c r="A16" s="1" t="str">
        <f t="shared" si="0"/>
        <v/>
      </c>
      <c r="B16" s="1" t="str">
        <f>IF(A16="","",VLOOKUP(Table2426[[#This Row],[Item ID]],data,2,FALSE))</f>
        <v/>
      </c>
      <c r="C16" s="1" t="str">
        <f>IF(A16="","",VLOOKUP(Table2426[[#This Row],[Item ID]],data,3,FALSE))</f>
        <v/>
      </c>
      <c r="D16" s="1" t="str">
        <f>IF(A16="","",VLOOKUP(Table2426[[#This Row],[Item ID]],data,4,FALSE))</f>
        <v/>
      </c>
      <c r="E16" s="11" t="str">
        <f>IF(A16="","",VLOOKUP(Table2426[[#This Row],[Item ID]],data,5,FALSE))</f>
        <v/>
      </c>
      <c r="F16" s="2" t="str">
        <f>IF(A16="","",VLOOKUP(Table2426[[#This Row],[Item ID]],data,6,FALSE))</f>
        <v/>
      </c>
      <c r="G16" s="37" t="str">
        <f>IF(Table2426[[#This Row],[Item ID]]="","",VLOOKUP(Table2426[[#This Row],[Item ID]],MASTER_LIST,9,0))</f>
        <v/>
      </c>
      <c r="H16" s="1" t="str">
        <f t="shared" ca="1" si="1"/>
        <v/>
      </c>
      <c r="I16" s="25" t="str">
        <f t="shared" ca="1" si="2"/>
        <v/>
      </c>
      <c r="J16" s="1" t="str">
        <f>IF(A16="","",SUMIFS(ItemMaster!H:H,ItemMaster!B:B,Table2426[[#This Row],[Item ID]]))</f>
        <v/>
      </c>
      <c r="K16" s="31" t="str">
        <f>IF(A16="","",SUMIFS(Sales!F:F,Sales!A:A,Table2426[[#This Row],[Item ID]]))</f>
        <v/>
      </c>
      <c r="L16" s="2" t="str">
        <f>IF(A16="","",SUMIFS(Sales!G:G,Sales!A:A,Table2426[[#This Row],[Item ID]]))</f>
        <v/>
      </c>
      <c r="M16" s="2" t="str">
        <f t="shared" si="3"/>
        <v/>
      </c>
      <c r="N16" s="2" t="str">
        <f>IF(A16="","",PRODUCT(Table2426[[#This Row],[Unit Price]]*Table2426[[#This Row],[Stockin Qty]]))</f>
        <v/>
      </c>
      <c r="O16" s="1" t="str">
        <f>IF(A16="","",PRODUCT(Table2426[[#This Row],[Stockin Qty]]-Table2426[[#This Row],[Sales Qty]]))</f>
        <v/>
      </c>
      <c r="P16" s="4" t="str">
        <f t="shared" si="4"/>
        <v/>
      </c>
      <c r="Q16" s="22" t="str">
        <f>IF(Table2426[[#This Row],[Item ID]]="","",VLOOKUP(Table2426[[#This Row],[Item ID]],Table2[[Item ID]:[File Path]],8,FALSE))</f>
        <v/>
      </c>
      <c r="R16" s="30"/>
    </row>
    <row r="17" spans="1:18" x14ac:dyDescent="0.25">
      <c r="A17" s="1" t="str">
        <f t="shared" si="0"/>
        <v/>
      </c>
      <c r="B17" s="1" t="str">
        <f>IF(A17="","",VLOOKUP(Table2426[[#This Row],[Item ID]],data,2,FALSE))</f>
        <v/>
      </c>
      <c r="C17" s="1" t="str">
        <f>IF(A17="","",VLOOKUP(Table2426[[#This Row],[Item ID]],data,3,FALSE))</f>
        <v/>
      </c>
      <c r="D17" s="1" t="str">
        <f>IF(A17="","",VLOOKUP(Table2426[[#This Row],[Item ID]],data,4,FALSE))</f>
        <v/>
      </c>
      <c r="E17" s="11" t="str">
        <f>IF(A17="","",VLOOKUP(Table2426[[#This Row],[Item ID]],data,5,FALSE))</f>
        <v/>
      </c>
      <c r="F17" s="2" t="str">
        <f>IF(A17="","",VLOOKUP(Table2426[[#This Row],[Item ID]],data,6,FALSE))</f>
        <v/>
      </c>
      <c r="G17" s="37" t="str">
        <f>IF(Table2426[[#This Row],[Item ID]]="","",VLOOKUP(Table2426[[#This Row],[Item ID]],MASTER_LIST,9,0))</f>
        <v/>
      </c>
      <c r="H17" s="1" t="str">
        <f t="shared" ca="1" si="1"/>
        <v/>
      </c>
      <c r="I17" s="25" t="str">
        <f t="shared" ca="1" si="2"/>
        <v/>
      </c>
      <c r="J17" s="1" t="str">
        <f>IF(A17="","",SUMIFS(ItemMaster!H:H,ItemMaster!B:B,Table2426[[#This Row],[Item ID]]))</f>
        <v/>
      </c>
      <c r="K17" s="31" t="str">
        <f>IF(A17="","",SUMIFS(Sales!F:F,Sales!A:A,Table2426[[#This Row],[Item ID]]))</f>
        <v/>
      </c>
      <c r="L17" s="2" t="str">
        <f>IF(A17="","",SUMIFS(Sales!G:G,Sales!A:A,Table2426[[#This Row],[Item ID]]))</f>
        <v/>
      </c>
      <c r="M17" s="2" t="str">
        <f t="shared" si="3"/>
        <v/>
      </c>
      <c r="N17" s="2" t="str">
        <f>IF(A17="","",PRODUCT(Table2426[[#This Row],[Unit Price]]*Table2426[[#This Row],[Stockin Qty]]))</f>
        <v/>
      </c>
      <c r="O17" s="1" t="str">
        <f>IF(A17="","",PRODUCT(Table2426[[#This Row],[Stockin Qty]]-Table2426[[#This Row],[Sales Qty]]))</f>
        <v/>
      </c>
      <c r="P17" s="4" t="str">
        <f t="shared" si="4"/>
        <v/>
      </c>
      <c r="Q17" s="22" t="str">
        <f>IF(Table2426[[#This Row],[Item ID]]="","",VLOOKUP(Table2426[[#This Row],[Item ID]],Table2[[Item ID]:[File Path]],8,FALSE))</f>
        <v/>
      </c>
      <c r="R17" s="30"/>
    </row>
    <row r="18" spans="1:18" x14ac:dyDescent="0.25">
      <c r="A18" s="1" t="str">
        <f t="shared" si="0"/>
        <v/>
      </c>
      <c r="B18" s="1" t="str">
        <f>IF(A18="","",VLOOKUP(Table2426[[#This Row],[Item ID]],data,2,FALSE))</f>
        <v/>
      </c>
      <c r="C18" s="1" t="str">
        <f>IF(A18="","",VLOOKUP(Table2426[[#This Row],[Item ID]],data,3,FALSE))</f>
        <v/>
      </c>
      <c r="D18" s="1" t="str">
        <f>IF(A18="","",VLOOKUP(Table2426[[#This Row],[Item ID]],data,4,FALSE))</f>
        <v/>
      </c>
      <c r="E18" s="11" t="str">
        <f>IF(A18="","",VLOOKUP(Table2426[[#This Row],[Item ID]],data,5,FALSE))</f>
        <v/>
      </c>
      <c r="F18" s="2" t="str">
        <f>IF(A18="","",VLOOKUP(Table2426[[#This Row],[Item ID]],data,6,FALSE))</f>
        <v/>
      </c>
      <c r="G18" s="37" t="str">
        <f>IF(Table2426[[#This Row],[Item ID]]="","",VLOOKUP(Table2426[[#This Row],[Item ID]],MASTER_LIST,9,0))</f>
        <v/>
      </c>
      <c r="H18" s="1" t="str">
        <f t="shared" ca="1" si="1"/>
        <v/>
      </c>
      <c r="I18" s="25" t="str">
        <f t="shared" ca="1" si="2"/>
        <v/>
      </c>
      <c r="J18" s="1" t="str">
        <f>IF(A18="","",SUMIFS(ItemMaster!H:H,ItemMaster!B:B,Table2426[[#This Row],[Item ID]]))</f>
        <v/>
      </c>
      <c r="K18" s="31" t="str">
        <f>IF(A18="","",SUMIFS(Sales!F:F,Sales!A:A,Table2426[[#This Row],[Item ID]]))</f>
        <v/>
      </c>
      <c r="L18" s="2" t="str">
        <f>IF(A18="","",SUMIFS(Sales!G:G,Sales!A:A,Table2426[[#This Row],[Item ID]]))</f>
        <v/>
      </c>
      <c r="M18" s="2" t="str">
        <f t="shared" si="3"/>
        <v/>
      </c>
      <c r="N18" s="2" t="str">
        <f>IF(A18="","",PRODUCT(Table2426[[#This Row],[Unit Price]]*Table2426[[#This Row],[Stockin Qty]]))</f>
        <v/>
      </c>
      <c r="O18" s="1" t="str">
        <f>IF(A18="","",PRODUCT(Table2426[[#This Row],[Stockin Qty]]-Table2426[[#This Row],[Sales Qty]]))</f>
        <v/>
      </c>
      <c r="P18" s="4" t="str">
        <f t="shared" si="4"/>
        <v/>
      </c>
      <c r="Q18" s="22" t="str">
        <f>IF(Table2426[[#This Row],[Item ID]]="","",VLOOKUP(Table2426[[#This Row],[Item ID]],Table2[[Item ID]:[File Path]],8,FALSE))</f>
        <v/>
      </c>
      <c r="R18" s="30"/>
    </row>
    <row r="19" spans="1:18" x14ac:dyDescent="0.25">
      <c r="A19" s="1" t="str">
        <f t="shared" si="0"/>
        <v/>
      </c>
      <c r="B19" s="1" t="str">
        <f>IF(A19="","",VLOOKUP(Table2426[[#This Row],[Item ID]],data,2,FALSE))</f>
        <v/>
      </c>
      <c r="C19" s="1" t="str">
        <f>IF(A19="","",VLOOKUP(Table2426[[#This Row],[Item ID]],data,3,FALSE))</f>
        <v/>
      </c>
      <c r="D19" s="1" t="str">
        <f>IF(A19="","",VLOOKUP(Table2426[[#This Row],[Item ID]],data,4,FALSE))</f>
        <v/>
      </c>
      <c r="E19" s="11" t="str">
        <f>IF(A19="","",VLOOKUP(Table2426[[#This Row],[Item ID]],data,5,FALSE))</f>
        <v/>
      </c>
      <c r="F19" s="2" t="str">
        <f>IF(A19="","",VLOOKUP(Table2426[[#This Row],[Item ID]],data,6,FALSE))</f>
        <v/>
      </c>
      <c r="G19" s="37" t="str">
        <f>IF(Table2426[[#This Row],[Item ID]]="","",VLOOKUP(Table2426[[#This Row],[Item ID]],MASTER_LIST,9,0))</f>
        <v/>
      </c>
      <c r="H19" s="1" t="str">
        <f t="shared" ca="1" si="1"/>
        <v/>
      </c>
      <c r="I19" s="25" t="str">
        <f t="shared" ca="1" si="2"/>
        <v/>
      </c>
      <c r="J19" s="1" t="str">
        <f>IF(A19="","",SUMIFS(ItemMaster!H:H,ItemMaster!B:B,Table2426[[#This Row],[Item ID]]))</f>
        <v/>
      </c>
      <c r="K19" s="31" t="str">
        <f>IF(A19="","",SUMIFS(Sales!F:F,Sales!A:A,Table2426[[#This Row],[Item ID]]))</f>
        <v/>
      </c>
      <c r="L19" s="2" t="str">
        <f>IF(A19="","",SUMIFS(Sales!G:G,Sales!A:A,Table2426[[#This Row],[Item ID]]))</f>
        <v/>
      </c>
      <c r="M19" s="2" t="str">
        <f t="shared" si="3"/>
        <v/>
      </c>
      <c r="N19" s="2" t="str">
        <f>IF(A19="","",PRODUCT(Table2426[[#This Row],[Unit Price]]*Table2426[[#This Row],[Stockin Qty]]))</f>
        <v/>
      </c>
      <c r="O19" s="1" t="str">
        <f>IF(A19="","",PRODUCT(Table2426[[#This Row],[Stockin Qty]]-Table2426[[#This Row],[Sales Qty]]))</f>
        <v/>
      </c>
      <c r="P19" s="4" t="str">
        <f t="shared" si="4"/>
        <v/>
      </c>
      <c r="Q19" s="22" t="str">
        <f>IF(Table2426[[#This Row],[Item ID]]="","",VLOOKUP(Table2426[[#This Row],[Item ID]],Table2[[Item ID]:[File Path]],8,FALSE))</f>
        <v/>
      </c>
      <c r="R19" s="30"/>
    </row>
    <row r="20" spans="1:18" x14ac:dyDescent="0.25">
      <c r="A20" s="1" t="str">
        <f t="shared" si="0"/>
        <v/>
      </c>
      <c r="B20" s="1" t="str">
        <f>IF(A20="","",VLOOKUP(Table2426[[#This Row],[Item ID]],data,2,FALSE))</f>
        <v/>
      </c>
      <c r="C20" s="1" t="str">
        <f>IF(A20="","",VLOOKUP(Table2426[[#This Row],[Item ID]],data,3,FALSE))</f>
        <v/>
      </c>
      <c r="D20" s="1" t="str">
        <f>IF(A20="","",VLOOKUP(Table2426[[#This Row],[Item ID]],data,4,FALSE))</f>
        <v/>
      </c>
      <c r="E20" s="11" t="str">
        <f>IF(A20="","",VLOOKUP(Table2426[[#This Row],[Item ID]],data,5,FALSE))</f>
        <v/>
      </c>
      <c r="F20" s="2" t="str">
        <f>IF(A20="","",VLOOKUP(Table2426[[#This Row],[Item ID]],data,6,FALSE))</f>
        <v/>
      </c>
      <c r="G20" s="37" t="str">
        <f>IF(Table2426[[#This Row],[Item ID]]="","",VLOOKUP(Table2426[[#This Row],[Item ID]],MASTER_LIST,9,0))</f>
        <v/>
      </c>
      <c r="H20" s="1" t="str">
        <f t="shared" ca="1" si="1"/>
        <v/>
      </c>
      <c r="I20" s="25" t="str">
        <f t="shared" ca="1" si="2"/>
        <v/>
      </c>
      <c r="J20" s="1" t="str">
        <f>IF(A20="","",SUMIFS(ItemMaster!H:H,ItemMaster!B:B,Table2426[[#This Row],[Item ID]]))</f>
        <v/>
      </c>
      <c r="K20" s="31" t="str">
        <f>IF(A20="","",SUMIFS(Sales!F:F,Sales!A:A,Table2426[[#This Row],[Item ID]]))</f>
        <v/>
      </c>
      <c r="L20" s="2" t="str">
        <f>IF(A20="","",SUMIFS(Sales!G:G,Sales!A:A,Table2426[[#This Row],[Item ID]]))</f>
        <v/>
      </c>
      <c r="M20" s="2" t="str">
        <f t="shared" si="3"/>
        <v/>
      </c>
      <c r="N20" s="2" t="str">
        <f>IF(A20="","",PRODUCT(Table2426[[#This Row],[Unit Price]]*Table2426[[#This Row],[Stockin Qty]]))</f>
        <v/>
      </c>
      <c r="O20" s="1" t="str">
        <f>IF(A20="","",PRODUCT(Table2426[[#This Row],[Stockin Qty]]-Table2426[[#This Row],[Sales Qty]]))</f>
        <v/>
      </c>
      <c r="P20" s="4" t="str">
        <f t="shared" si="4"/>
        <v/>
      </c>
      <c r="Q20" s="22" t="str">
        <f>IF(Table2426[[#This Row],[Item ID]]="","",VLOOKUP(Table2426[[#This Row],[Item ID]],Table2[[Item ID]:[File Path]],8,FALSE))</f>
        <v/>
      </c>
      <c r="R20" s="30"/>
    </row>
    <row r="21" spans="1:18" x14ac:dyDescent="0.25">
      <c r="A21" s="1" t="str">
        <f t="shared" si="0"/>
        <v/>
      </c>
      <c r="B21" s="7" t="str">
        <f>IF(A21="","",VLOOKUP(Table2426[[#This Row],[Item ID]],data,2,FALSE))</f>
        <v/>
      </c>
      <c r="C21" s="7" t="str">
        <f>IF(A21="","",VLOOKUP(Table2426[[#This Row],[Item ID]],data,3,FALSE))</f>
        <v/>
      </c>
      <c r="D21" s="7" t="str">
        <f>IF(A21="","",VLOOKUP(Table2426[[#This Row],[Item ID]],data,4,FALSE))</f>
        <v/>
      </c>
      <c r="E21" s="12" t="str">
        <f>IF(A21="","",VLOOKUP(Table2426[[#This Row],[Item ID]],data,5,FALSE))</f>
        <v/>
      </c>
      <c r="F21" s="8" t="str">
        <f>IF(A21="","",VLOOKUP(Table2426[[#This Row],[Item ID]],data,6,FALSE))</f>
        <v/>
      </c>
      <c r="G21" s="37" t="str">
        <f>IF(Table2426[[#This Row],[Item ID]]="","",VLOOKUP(Table2426[[#This Row],[Item ID]],MASTER_LIST,9,0))</f>
        <v/>
      </c>
      <c r="H21" s="1" t="str">
        <f t="shared" ca="1" si="1"/>
        <v/>
      </c>
      <c r="I21" s="25" t="str">
        <f t="shared" ca="1" si="2"/>
        <v/>
      </c>
      <c r="J21" s="7" t="str">
        <f>IF(A21="","",SUMIFS(ItemMaster!H:H,ItemMaster!B:B,Table2426[[#This Row],[Item ID]]))</f>
        <v/>
      </c>
      <c r="K21" s="31" t="str">
        <f>IF(A21="","",SUMIFS(Sales!F:F,Sales!A:A,Table2426[[#This Row],[Item ID]]))</f>
        <v/>
      </c>
      <c r="L21" s="2" t="str">
        <f>IF(A21="","",SUMIFS(Sales!G:G,Sales!A:A,Table2426[[#This Row],[Item ID]]))</f>
        <v/>
      </c>
      <c r="M21" s="2" t="str">
        <f t="shared" si="3"/>
        <v/>
      </c>
      <c r="N21" s="2" t="str">
        <f>IF(A21="","",PRODUCT(Table2426[[#This Row],[Unit Price]]*Table2426[[#This Row],[Stockin Qty]]))</f>
        <v/>
      </c>
      <c r="O21" s="1" t="str">
        <f>IF(A21="","",PRODUCT(Table2426[[#This Row],[Stockin Qty]]-Table2426[[#This Row],[Sales Qty]]))</f>
        <v/>
      </c>
      <c r="P21" s="9" t="str">
        <f t="shared" si="4"/>
        <v/>
      </c>
      <c r="Q21" s="22" t="str">
        <f>IF(Table2426[[#This Row],[Item ID]]="","",VLOOKUP(Table2426[[#This Row],[Item ID]],Table2[[Item ID]:[File Path]],8,FALSE))</f>
        <v/>
      </c>
      <c r="R21" s="30"/>
    </row>
    <row r="22" spans="1:18" x14ac:dyDescent="0.25">
      <c r="A22" s="1" t="str">
        <f t="shared" si="0"/>
        <v/>
      </c>
      <c r="B22" s="7" t="str">
        <f>IF(A22="","",VLOOKUP(Table2426[[#This Row],[Item ID]],data,2,FALSE))</f>
        <v/>
      </c>
      <c r="C22" s="7" t="str">
        <f>IF(A22="","",VLOOKUP(Table2426[[#This Row],[Item ID]],data,3,FALSE))</f>
        <v/>
      </c>
      <c r="D22" s="7" t="str">
        <f>IF(A22="","",VLOOKUP(Table2426[[#This Row],[Item ID]],data,4,FALSE))</f>
        <v/>
      </c>
      <c r="E22" s="12" t="str">
        <f>IF(A22="","",VLOOKUP(Table2426[[#This Row],[Item ID]],data,5,FALSE))</f>
        <v/>
      </c>
      <c r="F22" s="8" t="str">
        <f>IF(A22="","",VLOOKUP(Table2426[[#This Row],[Item ID]],data,6,FALSE))</f>
        <v/>
      </c>
      <c r="G22" s="37" t="str">
        <f>IF(Table2426[[#This Row],[Item ID]]="","",VLOOKUP(Table2426[[#This Row],[Item ID]],MASTER_LIST,9,0))</f>
        <v/>
      </c>
      <c r="H22" s="1" t="str">
        <f t="shared" ca="1" si="1"/>
        <v/>
      </c>
      <c r="I22" s="25" t="str">
        <f t="shared" ca="1" si="2"/>
        <v/>
      </c>
      <c r="J22" s="7" t="str">
        <f>IF(A22="","",SUMIFS(ItemMaster!H:H,ItemMaster!B:B,Table2426[[#This Row],[Item ID]]))</f>
        <v/>
      </c>
      <c r="K22" s="31" t="str">
        <f>IF(A22="","",SUMIFS(Sales!F:F,Sales!A:A,Table2426[[#This Row],[Item ID]]))</f>
        <v/>
      </c>
      <c r="L22" s="2" t="str">
        <f>IF(A22="","",SUMIFS(Sales!G:G,Sales!A:A,Table2426[[#This Row],[Item ID]]))</f>
        <v/>
      </c>
      <c r="M22" s="2" t="str">
        <f t="shared" si="3"/>
        <v/>
      </c>
      <c r="N22" s="2" t="str">
        <f>IF(A22="","",PRODUCT(Table2426[[#This Row],[Unit Price]]*Table2426[[#This Row],[Stockin Qty]]))</f>
        <v/>
      </c>
      <c r="O22" s="1" t="str">
        <f>IF(A22="","",PRODUCT(Table2426[[#This Row],[Stockin Qty]]-Table2426[[#This Row],[Sales Qty]]))</f>
        <v/>
      </c>
      <c r="P22" s="9" t="str">
        <f t="shared" si="4"/>
        <v/>
      </c>
      <c r="Q22" s="22" t="str">
        <f>IF(Table2426[[#This Row],[Item ID]]="","",VLOOKUP(Table2426[[#This Row],[Item ID]],Table2[[Item ID]:[File Path]],8,FALSE))</f>
        <v/>
      </c>
      <c r="R22" s="30"/>
    </row>
    <row r="23" spans="1:18" x14ac:dyDescent="0.25">
      <c r="A23" s="1" t="str">
        <f t="shared" si="0"/>
        <v/>
      </c>
      <c r="B23" s="1" t="str">
        <f>IF(A23="","",VLOOKUP(Table2426[[#This Row],[Item ID]],data,2,FALSE))</f>
        <v/>
      </c>
      <c r="C23" s="1" t="str">
        <f>IF(A23="","",VLOOKUP(Table2426[[#This Row],[Item ID]],data,3,FALSE))</f>
        <v/>
      </c>
      <c r="D23" s="1" t="str">
        <f>IF(A23="","",VLOOKUP(Table2426[[#This Row],[Item ID]],data,4,FALSE))</f>
        <v/>
      </c>
      <c r="E23" s="11" t="str">
        <f>IF(A23="","",VLOOKUP(Table2426[[#This Row],[Item ID]],data,5,FALSE))</f>
        <v/>
      </c>
      <c r="F23" s="2" t="str">
        <f>IF(A23="","",VLOOKUP(Table2426[[#This Row],[Item ID]],data,6,FALSE))</f>
        <v/>
      </c>
      <c r="G23" s="37" t="str">
        <f>IF(Table2426[[#This Row],[Item ID]]="","",VLOOKUP(Table2426[[#This Row],[Item ID]],MASTER_LIST,9,0))</f>
        <v/>
      </c>
      <c r="H23" s="1" t="str">
        <f t="shared" ca="1" si="1"/>
        <v/>
      </c>
      <c r="I23" s="25" t="str">
        <f t="shared" ca="1" si="2"/>
        <v/>
      </c>
      <c r="J23" s="1" t="str">
        <f>IF(A23="","",SUMIFS(ItemMaster!H:H,ItemMaster!B:B,Table2426[[#This Row],[Item ID]]))</f>
        <v/>
      </c>
      <c r="K23" s="31" t="str">
        <f>IF(A23="","",SUMIFS(Sales!F:F,Sales!A:A,Table2426[[#This Row],[Item ID]]))</f>
        <v/>
      </c>
      <c r="L23" s="2" t="str">
        <f>IF(A23="","",SUMIFS(Sales!G:G,Sales!A:A,Table2426[[#This Row],[Item ID]]))</f>
        <v/>
      </c>
      <c r="M23" s="2" t="str">
        <f t="shared" si="3"/>
        <v/>
      </c>
      <c r="N23" s="2" t="str">
        <f>IF(A23="","",PRODUCT(Table2426[[#This Row],[Unit Price]]*Table2426[[#This Row],[Stockin Qty]]))</f>
        <v/>
      </c>
      <c r="O23" s="1" t="str">
        <f>IF(A23="","",PRODUCT(Table2426[[#This Row],[Stockin Qty]]-Table2426[[#This Row],[Sales Qty]]))</f>
        <v/>
      </c>
      <c r="P23" s="4" t="str">
        <f t="shared" si="4"/>
        <v/>
      </c>
      <c r="Q23" s="22" t="str">
        <f>IF(Table2426[[#This Row],[Item ID]]="","",VLOOKUP(Table2426[[#This Row],[Item ID]],Table2[[Item ID]:[File Path]],8,FALSE))</f>
        <v/>
      </c>
      <c r="R23" s="30"/>
    </row>
    <row r="24" spans="1:18" x14ac:dyDescent="0.25">
      <c r="A24" s="1" t="str">
        <f t="shared" si="0"/>
        <v/>
      </c>
      <c r="B24" s="1" t="str">
        <f>IF(A24="","",VLOOKUP(Table2426[[#This Row],[Item ID]],data,2,FALSE))</f>
        <v/>
      </c>
      <c r="C24" s="1" t="str">
        <f>IF(A24="","",VLOOKUP(Table2426[[#This Row],[Item ID]],data,3,FALSE))</f>
        <v/>
      </c>
      <c r="D24" s="1" t="str">
        <f>IF(A24="","",VLOOKUP(Table2426[[#This Row],[Item ID]],data,4,FALSE))</f>
        <v/>
      </c>
      <c r="E24" s="11" t="str">
        <f>IF(A24="","",VLOOKUP(Table2426[[#This Row],[Item ID]],data,5,FALSE))</f>
        <v/>
      </c>
      <c r="F24" s="2" t="str">
        <f>IF(A24="","",VLOOKUP(Table2426[[#This Row],[Item ID]],data,6,FALSE))</f>
        <v/>
      </c>
      <c r="G24" s="37" t="str">
        <f>IF(Table2426[[#This Row],[Item ID]]="","",VLOOKUP(Table2426[[#This Row],[Item ID]],MASTER_LIST,9,0))</f>
        <v/>
      </c>
      <c r="H24" s="1" t="str">
        <f t="shared" ca="1" si="1"/>
        <v/>
      </c>
      <c r="I24" s="25" t="str">
        <f t="shared" ca="1" si="2"/>
        <v/>
      </c>
      <c r="J24" s="1" t="str">
        <f>IF(A24="","",SUMIFS(ItemMaster!H:H,ItemMaster!B:B,Table2426[[#This Row],[Item ID]]))</f>
        <v/>
      </c>
      <c r="K24" s="31" t="str">
        <f>IF(A24="","",SUMIFS(Sales!F:F,Sales!A:A,Table2426[[#This Row],[Item ID]]))</f>
        <v/>
      </c>
      <c r="L24" s="2" t="str">
        <f>IF(A24="","",SUMIFS(Sales!G:G,Sales!A:A,Table2426[[#This Row],[Item ID]]))</f>
        <v/>
      </c>
      <c r="M24" s="2" t="str">
        <f t="shared" si="3"/>
        <v/>
      </c>
      <c r="N24" s="2" t="str">
        <f>IF(A24="","",PRODUCT(Table2426[[#This Row],[Unit Price]]*Table2426[[#This Row],[Stockin Qty]]))</f>
        <v/>
      </c>
      <c r="O24" s="1" t="str">
        <f>IF(A24="","",PRODUCT(Table2426[[#This Row],[Stockin Qty]]-Table2426[[#This Row],[Sales Qty]]))</f>
        <v/>
      </c>
      <c r="P24" s="4" t="str">
        <f t="shared" si="4"/>
        <v/>
      </c>
      <c r="Q24" s="22" t="str">
        <f>IF(Table2426[[#This Row],[Item ID]]="","",VLOOKUP(Table2426[[#This Row],[Item ID]],Table2[[Item ID]:[File Path]],8,FALSE))</f>
        <v/>
      </c>
      <c r="R24" s="30"/>
    </row>
    <row r="25" spans="1:18" x14ac:dyDescent="0.25">
      <c r="A25" s="1" t="str">
        <f t="shared" si="0"/>
        <v/>
      </c>
      <c r="B25" s="1" t="str">
        <f>IF(A25="","",VLOOKUP(Table2426[[#This Row],[Item ID]],data,2,FALSE))</f>
        <v/>
      </c>
      <c r="C25" s="1" t="str">
        <f>IF(A25="","",VLOOKUP(Table2426[[#This Row],[Item ID]],data,3,FALSE))</f>
        <v/>
      </c>
      <c r="D25" s="1" t="str">
        <f>IF(A25="","",VLOOKUP(Table2426[[#This Row],[Item ID]],data,4,FALSE))</f>
        <v/>
      </c>
      <c r="E25" s="11" t="str">
        <f>IF(A25="","",VLOOKUP(Table2426[[#This Row],[Item ID]],data,5,FALSE))</f>
        <v/>
      </c>
      <c r="F25" s="2" t="str">
        <f>IF(A25="","",VLOOKUP(Table2426[[#This Row],[Item ID]],data,6,FALSE))</f>
        <v/>
      </c>
      <c r="G25" s="37" t="str">
        <f>IF(Table2426[[#This Row],[Item ID]]="","",VLOOKUP(Table2426[[#This Row],[Item ID]],MASTER_LIST,9,0))</f>
        <v/>
      </c>
      <c r="H25" s="1" t="str">
        <f t="shared" ca="1" si="1"/>
        <v/>
      </c>
      <c r="I25" s="25" t="str">
        <f t="shared" ca="1" si="2"/>
        <v/>
      </c>
      <c r="J25" s="1" t="str">
        <f>IF(A25="","",SUMIFS(ItemMaster!H:H,ItemMaster!B:B,Table2426[[#This Row],[Item ID]]))</f>
        <v/>
      </c>
      <c r="K25" s="31" t="str">
        <f>IF(A25="","",SUMIFS(Sales!F:F,Sales!A:A,Table2426[[#This Row],[Item ID]]))</f>
        <v/>
      </c>
      <c r="L25" s="2" t="str">
        <f>IF(A25="","",SUMIFS(Sales!G:G,Sales!A:A,Table2426[[#This Row],[Item ID]]))</f>
        <v/>
      </c>
      <c r="M25" s="2" t="str">
        <f t="shared" si="3"/>
        <v/>
      </c>
      <c r="N25" s="2" t="str">
        <f>IF(A25="","",PRODUCT(Table2426[[#This Row],[Unit Price]]*Table2426[[#This Row],[Stockin Qty]]))</f>
        <v/>
      </c>
      <c r="O25" s="1" t="str">
        <f>IF(A25="","",PRODUCT(Table2426[[#This Row],[Stockin Qty]]-Table2426[[#This Row],[Sales Qty]]))</f>
        <v/>
      </c>
      <c r="P25" s="4" t="str">
        <f t="shared" si="4"/>
        <v/>
      </c>
      <c r="Q25" s="22" t="str">
        <f>IF(Table2426[[#This Row],[Item ID]]="","",VLOOKUP(Table2426[[#This Row],[Item ID]],Table2[[Item ID]:[File Path]],8,FALSE))</f>
        <v/>
      </c>
      <c r="R25" s="30"/>
    </row>
    <row r="26" spans="1:18" x14ac:dyDescent="0.25">
      <c r="A26" s="1" t="str">
        <f t="shared" si="0"/>
        <v/>
      </c>
      <c r="B26" s="1" t="str">
        <f>IF(A26="","",VLOOKUP(Table2426[[#This Row],[Item ID]],data,2,FALSE))</f>
        <v/>
      </c>
      <c r="C26" s="1" t="str">
        <f>IF(A26="","",VLOOKUP(Table2426[[#This Row],[Item ID]],data,3,FALSE))</f>
        <v/>
      </c>
      <c r="D26" s="1" t="str">
        <f>IF(A26="","",VLOOKUP(Table2426[[#This Row],[Item ID]],data,4,FALSE))</f>
        <v/>
      </c>
      <c r="E26" s="11" t="str">
        <f>IF(A26="","",VLOOKUP(Table2426[[#This Row],[Item ID]],data,5,FALSE))</f>
        <v/>
      </c>
      <c r="F26" s="2" t="str">
        <f>IF(A26="","",VLOOKUP(Table2426[[#This Row],[Item ID]],data,6,FALSE))</f>
        <v/>
      </c>
      <c r="G26" s="37" t="str">
        <f>IF(Table2426[[#This Row],[Item ID]]="","",VLOOKUP(Table2426[[#This Row],[Item ID]],MASTER_LIST,9,0))</f>
        <v/>
      </c>
      <c r="H26" s="1" t="str">
        <f t="shared" ca="1" si="1"/>
        <v/>
      </c>
      <c r="I26" s="25" t="str">
        <f t="shared" ca="1" si="2"/>
        <v/>
      </c>
      <c r="J26" s="1" t="str">
        <f>IF(A26="","",SUMIFS(ItemMaster!H:H,ItemMaster!B:B,Table2426[[#This Row],[Item ID]]))</f>
        <v/>
      </c>
      <c r="K26" s="31" t="str">
        <f>IF(A26="","",SUMIFS(Sales!F:F,Sales!A:A,Table2426[[#This Row],[Item ID]]))</f>
        <v/>
      </c>
      <c r="L26" s="2" t="str">
        <f>IF(A26="","",SUMIFS(Sales!G:G,Sales!A:A,Table2426[[#This Row],[Item ID]]))</f>
        <v/>
      </c>
      <c r="M26" s="2" t="str">
        <f t="shared" si="3"/>
        <v/>
      </c>
      <c r="N26" s="2" t="str">
        <f>IF(A26="","",PRODUCT(Table2426[[#This Row],[Unit Price]]*Table2426[[#This Row],[Stockin Qty]]))</f>
        <v/>
      </c>
      <c r="O26" s="1" t="str">
        <f>IF(A26="","",PRODUCT(Table2426[[#This Row],[Stockin Qty]]-Table2426[[#This Row],[Sales Qty]]))</f>
        <v/>
      </c>
      <c r="P26" s="4" t="str">
        <f t="shared" si="4"/>
        <v/>
      </c>
      <c r="Q26" s="22" t="str">
        <f>IF(Table2426[[#This Row],[Item ID]]="","",VLOOKUP(Table2426[[#This Row],[Item ID]],Table2[[Item ID]:[File Path]],8,FALSE))</f>
        <v/>
      </c>
      <c r="R26" s="30"/>
    </row>
    <row r="27" spans="1:18" x14ac:dyDescent="0.25">
      <c r="A27" s="1" t="str">
        <f t="shared" si="0"/>
        <v/>
      </c>
      <c r="B27" s="1" t="str">
        <f>IF(A27="","",VLOOKUP(Table2426[[#This Row],[Item ID]],data,2,FALSE))</f>
        <v/>
      </c>
      <c r="C27" s="1" t="str">
        <f>IF(A27="","",VLOOKUP(Table2426[[#This Row],[Item ID]],data,3,FALSE))</f>
        <v/>
      </c>
      <c r="D27" s="1" t="str">
        <f>IF(A27="","",VLOOKUP(Table2426[[#This Row],[Item ID]],data,4,FALSE))</f>
        <v/>
      </c>
      <c r="E27" s="11" t="str">
        <f>IF(A27="","",VLOOKUP(Table2426[[#This Row],[Item ID]],data,5,FALSE))</f>
        <v/>
      </c>
      <c r="F27" s="2" t="str">
        <f>IF(A27="","",VLOOKUP(Table2426[[#This Row],[Item ID]],data,6,FALSE))</f>
        <v/>
      </c>
      <c r="G27" s="37" t="str">
        <f>IF(Table2426[[#This Row],[Item ID]]="","",VLOOKUP(Table2426[[#This Row],[Item ID]],MASTER_LIST,9,0))</f>
        <v/>
      </c>
      <c r="H27" s="1" t="str">
        <f t="shared" ca="1" si="1"/>
        <v/>
      </c>
      <c r="I27" s="25" t="str">
        <f t="shared" ca="1" si="2"/>
        <v/>
      </c>
      <c r="J27" s="1" t="str">
        <f>IF(A27="","",SUMIFS(ItemMaster!H:H,ItemMaster!B:B,Table2426[[#This Row],[Item ID]]))</f>
        <v/>
      </c>
      <c r="K27" s="31" t="str">
        <f>IF(A27="","",SUMIFS(Sales!F:F,Sales!A:A,Table2426[[#This Row],[Item ID]]))</f>
        <v/>
      </c>
      <c r="L27" s="2" t="str">
        <f>IF(A27="","",SUMIFS(Sales!G:G,Sales!A:A,Table2426[[#This Row],[Item ID]]))</f>
        <v/>
      </c>
      <c r="M27" s="2" t="str">
        <f t="shared" si="3"/>
        <v/>
      </c>
      <c r="N27" s="2" t="str">
        <f>IF(A27="","",PRODUCT(Table2426[[#This Row],[Unit Price]]*Table2426[[#This Row],[Stockin Qty]]))</f>
        <v/>
      </c>
      <c r="O27" s="1" t="str">
        <f>IF(A27="","",PRODUCT(Table2426[[#This Row],[Stockin Qty]]-Table2426[[#This Row],[Sales Qty]]))</f>
        <v/>
      </c>
      <c r="P27" s="4" t="str">
        <f t="shared" si="4"/>
        <v/>
      </c>
      <c r="Q27" s="22" t="str">
        <f>IF(Table2426[[#This Row],[Item ID]]="","",VLOOKUP(Table2426[[#This Row],[Item ID]],Table2[[Item ID]:[File Path]],8,FALSE))</f>
        <v/>
      </c>
      <c r="R27" s="30"/>
    </row>
    <row r="28" spans="1:18" x14ac:dyDescent="0.25">
      <c r="A28" s="1" t="str">
        <f t="shared" si="0"/>
        <v/>
      </c>
      <c r="B28" s="7" t="str">
        <f>IF(A28="","",VLOOKUP(Table2426[[#This Row],[Item ID]],data,2,FALSE))</f>
        <v/>
      </c>
      <c r="C28" s="7" t="str">
        <f>IF(A28="","",VLOOKUP(Table2426[[#This Row],[Item ID]],data,3,FALSE))</f>
        <v/>
      </c>
      <c r="D28" s="7" t="str">
        <f>IF(A28="","",VLOOKUP(Table2426[[#This Row],[Item ID]],data,4,FALSE))</f>
        <v/>
      </c>
      <c r="E28" s="12" t="str">
        <f>IF(A28="","",VLOOKUP(Table2426[[#This Row],[Item ID]],data,5,FALSE))</f>
        <v/>
      </c>
      <c r="F28" s="8" t="str">
        <f>IF(A28="","",VLOOKUP(Table2426[[#This Row],[Item ID]],data,6,FALSE))</f>
        <v/>
      </c>
      <c r="G28" s="37" t="str">
        <f>IF(Table2426[[#This Row],[Item ID]]="","",VLOOKUP(Table2426[[#This Row],[Item ID]],MASTER_LIST,9,0))</f>
        <v/>
      </c>
      <c r="H28" s="1" t="str">
        <f t="shared" ca="1" si="1"/>
        <v/>
      </c>
      <c r="I28" s="25" t="str">
        <f t="shared" ca="1" si="2"/>
        <v/>
      </c>
      <c r="J28" s="7" t="str">
        <f>IF(A28="","",SUMIFS(ItemMaster!H:H,ItemMaster!B:B,Table2426[[#This Row],[Item ID]]))</f>
        <v/>
      </c>
      <c r="K28" s="31" t="str">
        <f>IF(A28="","",SUMIFS(Sales!F:F,Sales!A:A,Table2426[[#This Row],[Item ID]]))</f>
        <v/>
      </c>
      <c r="L28" s="2" t="str">
        <f>IF(A28="","",SUMIFS(Sales!G:G,Sales!A:A,Table2426[[#This Row],[Item ID]]))</f>
        <v/>
      </c>
      <c r="M28" s="2" t="str">
        <f t="shared" si="3"/>
        <v/>
      </c>
      <c r="N28" s="2" t="str">
        <f>IF(A28="","",PRODUCT(Table2426[[#This Row],[Unit Price]]*Table2426[[#This Row],[Stockin Qty]]))</f>
        <v/>
      </c>
      <c r="O28" s="1" t="str">
        <f>IF(A28="","",PRODUCT(Table2426[[#This Row],[Stockin Qty]]-Table2426[[#This Row],[Sales Qty]]))</f>
        <v/>
      </c>
      <c r="P28" s="9" t="str">
        <f t="shared" si="4"/>
        <v/>
      </c>
      <c r="Q28" s="22" t="str">
        <f>IF(Table2426[[#This Row],[Item ID]]="","",VLOOKUP(Table2426[[#This Row],[Item ID]],Table2[[Item ID]:[File Path]],8,FALSE))</f>
        <v/>
      </c>
      <c r="R28" s="30"/>
    </row>
    <row r="29" spans="1:18" x14ac:dyDescent="0.25">
      <c r="A29" s="1" t="str">
        <f t="shared" si="0"/>
        <v/>
      </c>
      <c r="B29" s="7" t="str">
        <f>IF(A29="","",VLOOKUP(Table2426[[#This Row],[Item ID]],data,2,FALSE))</f>
        <v/>
      </c>
      <c r="C29" s="7" t="str">
        <f>IF(A29="","",VLOOKUP(Table2426[[#This Row],[Item ID]],data,3,FALSE))</f>
        <v/>
      </c>
      <c r="D29" s="7" t="str">
        <f>IF(A29="","",VLOOKUP(Table2426[[#This Row],[Item ID]],data,4,FALSE))</f>
        <v/>
      </c>
      <c r="E29" s="12" t="str">
        <f>IF(A29="","",VLOOKUP(Table2426[[#This Row],[Item ID]],data,5,FALSE))</f>
        <v/>
      </c>
      <c r="F29" s="8" t="str">
        <f>IF(A29="","",VLOOKUP(Table2426[[#This Row],[Item ID]],data,6,FALSE))</f>
        <v/>
      </c>
      <c r="G29" s="37" t="str">
        <f>IF(Table2426[[#This Row],[Item ID]]="","",VLOOKUP(Table2426[[#This Row],[Item ID]],MASTER_LIST,9,0))</f>
        <v/>
      </c>
      <c r="H29" s="1" t="str">
        <f t="shared" ca="1" si="1"/>
        <v/>
      </c>
      <c r="I29" s="25" t="str">
        <f t="shared" ca="1" si="2"/>
        <v/>
      </c>
      <c r="J29" s="7" t="str">
        <f>IF(A29="","",SUMIFS(ItemMaster!H:H,ItemMaster!B:B,Table2426[[#This Row],[Item ID]]))</f>
        <v/>
      </c>
      <c r="K29" s="31" t="str">
        <f>IF(A29="","",SUMIFS(Sales!F:F,Sales!A:A,Table2426[[#This Row],[Item ID]]))</f>
        <v/>
      </c>
      <c r="L29" s="2" t="str">
        <f>IF(A29="","",SUMIFS(Sales!G:G,Sales!A:A,Table2426[[#This Row],[Item ID]]))</f>
        <v/>
      </c>
      <c r="M29" s="2" t="str">
        <f t="shared" si="3"/>
        <v/>
      </c>
      <c r="N29" s="2" t="str">
        <f>IF(A29="","",PRODUCT(Table2426[[#This Row],[Unit Price]]*Table2426[[#This Row],[Stockin Qty]]))</f>
        <v/>
      </c>
      <c r="O29" s="1" t="str">
        <f>IF(A29="","",PRODUCT(Table2426[[#This Row],[Stockin Qty]]-Table2426[[#This Row],[Sales Qty]]))</f>
        <v/>
      </c>
      <c r="P29" s="9" t="str">
        <f t="shared" si="4"/>
        <v/>
      </c>
      <c r="Q29" s="22" t="str">
        <f>IF(Table2426[[#This Row],[Item ID]]="","",VLOOKUP(Table2426[[#This Row],[Item ID]],Table2[[Item ID]:[File Path]],8,FALSE))</f>
        <v/>
      </c>
      <c r="R29" s="30"/>
    </row>
    <row r="30" spans="1:18" x14ac:dyDescent="0.25">
      <c r="A30" s="1" t="str">
        <f t="shared" si="0"/>
        <v/>
      </c>
      <c r="B30" s="1" t="str">
        <f>IF(A30="","",VLOOKUP(Table2426[[#This Row],[Item ID]],data,2,FALSE))</f>
        <v/>
      </c>
      <c r="C30" s="1" t="str">
        <f>IF(A30="","",VLOOKUP(Table2426[[#This Row],[Item ID]],data,3,FALSE))</f>
        <v/>
      </c>
      <c r="D30" s="1" t="str">
        <f>IF(A30="","",VLOOKUP(Table2426[[#This Row],[Item ID]],data,4,FALSE))</f>
        <v/>
      </c>
      <c r="E30" s="11" t="str">
        <f>IF(A30="","",VLOOKUP(Table2426[[#This Row],[Item ID]],data,5,FALSE))</f>
        <v/>
      </c>
      <c r="F30" s="2" t="str">
        <f>IF(A30="","",VLOOKUP(Table2426[[#This Row],[Item ID]],data,6,FALSE))</f>
        <v/>
      </c>
      <c r="G30" s="37" t="str">
        <f>IF(Table2426[[#This Row],[Item ID]]="","",VLOOKUP(Table2426[[#This Row],[Item ID]],MASTER_LIST,9,0))</f>
        <v/>
      </c>
      <c r="H30" s="1" t="str">
        <f t="shared" ca="1" si="1"/>
        <v/>
      </c>
      <c r="I30" s="25" t="str">
        <f t="shared" ca="1" si="2"/>
        <v/>
      </c>
      <c r="J30" s="1" t="str">
        <f>IF(A30="","",SUMIFS(ItemMaster!H:H,ItemMaster!B:B,Table2426[[#This Row],[Item ID]]))</f>
        <v/>
      </c>
      <c r="K30" s="31" t="str">
        <f>IF(A30="","",SUMIFS(Sales!F:F,Sales!A:A,Table2426[[#This Row],[Item ID]]))</f>
        <v/>
      </c>
      <c r="L30" s="2" t="str">
        <f>IF(A30="","",SUMIFS(Sales!G:G,Sales!A:A,Table2426[[#This Row],[Item ID]]))</f>
        <v/>
      </c>
      <c r="M30" s="2" t="str">
        <f t="shared" si="3"/>
        <v/>
      </c>
      <c r="N30" s="2" t="str">
        <f>IF(A30="","",PRODUCT(Table2426[[#This Row],[Unit Price]]*Table2426[[#This Row],[Stockin Qty]]))</f>
        <v/>
      </c>
      <c r="O30" s="1" t="str">
        <f>IF(A30="","",PRODUCT(Table2426[[#This Row],[Stockin Qty]]-Table2426[[#This Row],[Sales Qty]]))</f>
        <v/>
      </c>
      <c r="P30" s="4" t="str">
        <f t="shared" si="4"/>
        <v/>
      </c>
      <c r="Q30" s="22" t="str">
        <f>IF(Table2426[[#This Row],[Item ID]]="","",VLOOKUP(Table2426[[#This Row],[Item ID]],Table2[[Item ID]:[File Path]],8,FALSE))</f>
        <v/>
      </c>
      <c r="R30" s="30"/>
    </row>
  </sheetData>
  <sheetProtection algorithmName="SHA-512" hashValue="WvXvwSIuOl/kuRc6+AZmAfbxT3d6RWlikKUtEw2UyKw7qdiYT/OO0fRlUqORgwOV9wqfUgNgF5/yr2hNywaMZQ==" saltValue="DCTUbH318Y5T21ym0xduaQ==" spinCount="100000" sheet="1" objects="1" scenarios="1"/>
  <conditionalFormatting sqref="A3:A8 A10:A15 A17:A22 A24:A29 K7:O8 K14:O15 K21:O22 K28:O29 A2:P6 A9:P13 A16:P20 A23:P27 A30:P30 K3:K30 G3:I30">
    <cfRule type="notContainsBlanks" dxfId="4" priority="4">
      <formula>LEN(TRIM(A2))&gt;0</formula>
    </cfRule>
    <cfRule type="containsBlanks" dxfId="3" priority="5">
      <formula>LEN(TRIM(A2))=0</formula>
    </cfRule>
  </conditionalFormatting>
  <conditionalFormatting sqref="A2:P30">
    <cfRule type="notContainsBlanks" dxfId="2" priority="3">
      <formula>LEN(TRIM(A2))&gt;0</formula>
    </cfRule>
  </conditionalFormatting>
  <conditionalFormatting sqref="A1:P30">
    <cfRule type="notContainsBlanks" dxfId="1" priority="1">
      <formula>LEN(TRIM(A1))&gt;0</formula>
    </cfRule>
    <cfRule type="containsBlanks" dxfId="0" priority="2">
      <formula>LEN(TRIM(A1))=0</formula>
    </cfRule>
  </conditionalFormatting>
  <pageMargins left="0.7" right="0.7" top="0.75" bottom="0.75" header="0.3" footer="0.3"/>
  <pageSetup paperSize="9" scale="25" fitToHeight="0"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A202CC-8F00-4624-909F-45B741BB5D8E}">
  <sheetPr codeName="Sheet10"/>
  <dimension ref="A1:H19"/>
  <sheetViews>
    <sheetView workbookViewId="0">
      <selection activeCell="G22" sqref="G22"/>
    </sheetView>
  </sheetViews>
  <sheetFormatPr defaultRowHeight="15" x14ac:dyDescent="0.25"/>
  <cols>
    <col min="2" max="2" width="17" bestFit="1" customWidth="1"/>
    <col min="4" max="4" width="13.7109375" style="13" bestFit="1" customWidth="1"/>
    <col min="5" max="5" width="12" style="13" bestFit="1" customWidth="1"/>
    <col min="6" max="6" width="13.7109375" style="13" bestFit="1" customWidth="1"/>
    <col min="7" max="7" width="13.42578125" bestFit="1" customWidth="1"/>
  </cols>
  <sheetData>
    <row r="1" spans="1:8" ht="15" customHeight="1" x14ac:dyDescent="0.25">
      <c r="A1" s="14" t="s">
        <v>0</v>
      </c>
      <c r="B1" s="14" t="s">
        <v>1</v>
      </c>
      <c r="C1" s="28" t="s">
        <v>21</v>
      </c>
      <c r="D1" s="15" t="s">
        <v>10</v>
      </c>
      <c r="E1" s="15" t="s">
        <v>12</v>
      </c>
      <c r="F1" s="15" t="s">
        <v>11</v>
      </c>
      <c r="G1" s="14" t="s">
        <v>13</v>
      </c>
      <c r="H1" s="14" t="s">
        <v>14</v>
      </c>
    </row>
    <row r="2" spans="1:8" x14ac:dyDescent="0.25">
      <c r="A2">
        <f>Table2426[[#This Row],[Item ID]]</f>
        <v>1001</v>
      </c>
      <c r="B2" t="str" cm="1">
        <f t="array" aca="1" ref="B2:H2" ca="1">VLOOKUP(A2,Summary!A2:$P$9,{2,9,12,13,14,15,16},FALSE)</f>
        <v>BEAR BRAND</v>
      </c>
      <c r="C2" t="str">
        <f ca="1"/>
        <v>Expired</v>
      </c>
      <c r="D2" s="13">
        <f ca="1"/>
        <v>240</v>
      </c>
      <c r="E2" s="13">
        <f ca="1"/>
        <v>60</v>
      </c>
      <c r="F2" s="13">
        <f ca="1"/>
        <v>3000</v>
      </c>
      <c r="G2">
        <f ca="1"/>
        <v>188</v>
      </c>
      <c r="H2" t="str">
        <f ca="1"/>
        <v>Available</v>
      </c>
    </row>
    <row r="3" spans="1:8" x14ac:dyDescent="0.25">
      <c r="A3">
        <f>Table2426[[#This Row],[Item ID]]</f>
        <v>1002</v>
      </c>
      <c r="B3" t="str" cm="1">
        <f t="array" aca="1" ref="B3:H3" ca="1">VLOOKUP(A3,Summary!A3:$P$9,{2,9,12,13,14,15,16},FALSE)</f>
        <v>RC COLA</v>
      </c>
      <c r="C3" t="str">
        <f ca="1"/>
        <v>Not Expired</v>
      </c>
      <c r="D3" s="13">
        <f ca="1"/>
        <v>1500</v>
      </c>
      <c r="E3" s="13">
        <f ca="1"/>
        <v>500</v>
      </c>
      <c r="F3" s="13">
        <f ca="1"/>
        <v>3000</v>
      </c>
      <c r="G3">
        <f ca="1"/>
        <v>100</v>
      </c>
      <c r="H3" t="str">
        <f ca="1"/>
        <v>Available</v>
      </c>
    </row>
    <row r="4" spans="1:8" x14ac:dyDescent="0.25">
      <c r="A4">
        <f>Table2426[[#This Row],[Item ID]]</f>
        <v>1003</v>
      </c>
      <c r="B4" t="str" cm="1">
        <f t="array" aca="1" ref="B4:H4" ca="1">VLOOKUP(A4,Summary!A4:$P$9,{2,9,12,13,14,15,16},FALSE)</f>
        <v>CREAM 0</v>
      </c>
      <c r="C4" t="str">
        <f ca="1"/>
        <v>Near Expiry</v>
      </c>
      <c r="D4" s="13">
        <f ca="1"/>
        <v>3000</v>
      </c>
      <c r="E4" s="13">
        <f ca="1"/>
        <v>750</v>
      </c>
      <c r="F4" s="13">
        <f ca="1"/>
        <v>2700</v>
      </c>
      <c r="G4">
        <f ca="1"/>
        <v>50</v>
      </c>
      <c r="H4" t="str">
        <f ca="1"/>
        <v>Available</v>
      </c>
    </row>
    <row r="5" spans="1:8" x14ac:dyDescent="0.25">
      <c r="A5" t="str">
        <f>Table2426[[#This Row],[Item ID]]</f>
        <v/>
      </c>
      <c r="B5" t="str" cm="1">
        <f t="array" aca="1" ref="B5:H5" ca="1">VLOOKUP(A5,Summary!A5:$P$9,{2,9,12,13,14,15,16},FALSE)</f>
        <v/>
      </c>
      <c r="C5" t="str">
        <f ca="1"/>
        <v/>
      </c>
      <c r="D5" s="13" t="str">
        <f ca="1"/>
        <v/>
      </c>
      <c r="E5" s="13" t="str">
        <f ca="1"/>
        <v/>
      </c>
      <c r="F5" s="13" t="str">
        <f ca="1"/>
        <v/>
      </c>
      <c r="G5" t="str">
        <f ca="1"/>
        <v/>
      </c>
      <c r="H5" t="str">
        <f ca="1"/>
        <v/>
      </c>
    </row>
    <row r="6" spans="1:8" x14ac:dyDescent="0.25">
      <c r="A6" t="str">
        <f>Table2426[[#This Row],[Item ID]]</f>
        <v/>
      </c>
      <c r="B6" t="str" cm="1">
        <f t="array" aca="1" ref="B6:H6" ca="1">VLOOKUP(A6,Summary!A6:$P$9,{2,9,12,13,14,15,16},FALSE)</f>
        <v/>
      </c>
      <c r="C6" t="str">
        <f ca="1"/>
        <v/>
      </c>
      <c r="D6" s="13" t="str">
        <f ca="1"/>
        <v/>
      </c>
      <c r="E6" s="13" t="str">
        <f ca="1"/>
        <v/>
      </c>
      <c r="F6" s="13" t="str">
        <f ca="1"/>
        <v/>
      </c>
      <c r="G6" t="str">
        <f ca="1"/>
        <v/>
      </c>
      <c r="H6" t="str">
        <f ca="1"/>
        <v/>
      </c>
    </row>
    <row r="7" spans="1:8" x14ac:dyDescent="0.25">
      <c r="A7" t="str">
        <f>Table2426[[#This Row],[Item ID]]</f>
        <v/>
      </c>
      <c r="B7" t="str" cm="1">
        <f t="array" aca="1" ref="B7:H7" ca="1">VLOOKUP(A7,Summary!A7:$P$9,{2,9,12,13,14,15,16},FALSE)</f>
        <v/>
      </c>
      <c r="C7" t="str">
        <f ca="1"/>
        <v/>
      </c>
      <c r="D7" s="13" t="str">
        <f ca="1"/>
        <v/>
      </c>
      <c r="E7" s="13" t="str">
        <f ca="1"/>
        <v/>
      </c>
      <c r="F7" s="13" t="str">
        <f ca="1"/>
        <v/>
      </c>
      <c r="G7" t="str">
        <f ca="1"/>
        <v/>
      </c>
      <c r="H7" t="str">
        <f ca="1"/>
        <v/>
      </c>
    </row>
    <row r="8" spans="1:8" x14ac:dyDescent="0.25">
      <c r="A8" t="str">
        <f>Table2426[[#This Row],[Item ID]]</f>
        <v/>
      </c>
      <c r="B8" t="str" cm="1">
        <f t="array" aca="1" ref="B8:H8" ca="1">VLOOKUP(A8,Summary!A8:$P$9,{2,9,12,13,14,15,16},FALSE)</f>
        <v/>
      </c>
      <c r="C8" t="str">
        <f ca="1"/>
        <v/>
      </c>
      <c r="D8" s="13" t="str">
        <f ca="1"/>
        <v/>
      </c>
      <c r="E8" s="13" t="str">
        <f ca="1"/>
        <v/>
      </c>
      <c r="F8" s="13" t="str">
        <f ca="1"/>
        <v/>
      </c>
      <c r="G8" t="str">
        <f ca="1"/>
        <v/>
      </c>
      <c r="H8" t="str">
        <f ca="1"/>
        <v/>
      </c>
    </row>
    <row r="9" spans="1:8" x14ac:dyDescent="0.25">
      <c r="A9" t="str">
        <f>Table2426[[#This Row],[Item ID]]</f>
        <v/>
      </c>
      <c r="B9" t="str" cm="1">
        <f t="array" aca="1" ref="B9:H9" ca="1">VLOOKUP(A9,Summary!A9:$P$9,{2,9,12,13,14,15,16},FALSE)</f>
        <v/>
      </c>
      <c r="C9" t="str">
        <f ca="1"/>
        <v/>
      </c>
      <c r="D9" s="13" t="str">
        <f ca="1"/>
        <v/>
      </c>
      <c r="E9" s="13" t="str">
        <f ca="1"/>
        <v/>
      </c>
      <c r="F9" s="13" t="str">
        <f ca="1"/>
        <v/>
      </c>
      <c r="G9" t="str">
        <f ca="1"/>
        <v/>
      </c>
      <c r="H9" t="str">
        <f ca="1"/>
        <v/>
      </c>
    </row>
    <row r="10" spans="1:8" x14ac:dyDescent="0.25">
      <c r="A10" t="str">
        <f>Table2426[[#This Row],[Item ID]]</f>
        <v/>
      </c>
      <c r="B10" t="str" cm="1">
        <f t="array" aca="1" ref="B10:H10" ca="1">VLOOKUP(A10,Summary!A$9:$P10,{2,9,12,13,14,15,16},FALSE)</f>
        <v/>
      </c>
      <c r="C10" t="str">
        <f ca="1"/>
        <v/>
      </c>
      <c r="D10" s="13" t="str">
        <f ca="1"/>
        <v/>
      </c>
      <c r="E10" s="13" t="str">
        <f ca="1"/>
        <v/>
      </c>
      <c r="F10" s="13" t="str">
        <f ca="1"/>
        <v/>
      </c>
      <c r="G10" t="str">
        <f ca="1"/>
        <v/>
      </c>
      <c r="H10" t="str">
        <f ca="1"/>
        <v/>
      </c>
    </row>
    <row r="11" spans="1:8" x14ac:dyDescent="0.25">
      <c r="A11" t="str">
        <f>Table2426[[#This Row],[Item ID]]</f>
        <v/>
      </c>
      <c r="B11" t="str" cm="1">
        <f t="array" aca="1" ref="B11:H11" ca="1">VLOOKUP(A11,Summary!A$9:$P11,{2,9,12,13,14,15,16},FALSE)</f>
        <v/>
      </c>
      <c r="C11" t="str">
        <f ca="1"/>
        <v/>
      </c>
      <c r="D11" s="13" t="str">
        <f ca="1"/>
        <v/>
      </c>
      <c r="E11" s="13" t="str">
        <f ca="1"/>
        <v/>
      </c>
      <c r="F11" s="13" t="str">
        <f ca="1"/>
        <v/>
      </c>
      <c r="G11" t="str">
        <f ca="1"/>
        <v/>
      </c>
      <c r="H11" t="str">
        <f ca="1"/>
        <v/>
      </c>
    </row>
    <row r="12" spans="1:8" x14ac:dyDescent="0.25">
      <c r="A12" t="str">
        <f>Table2426[[#This Row],[Item ID]]</f>
        <v/>
      </c>
      <c r="B12" t="str" cm="1">
        <f t="array" aca="1" ref="B12:H12" ca="1">VLOOKUP(A12,Summary!A$9:$P12,{2,9,12,13,14,15,16},FALSE)</f>
        <v/>
      </c>
      <c r="C12" t="str">
        <f ca="1"/>
        <v/>
      </c>
      <c r="D12" s="13" t="str">
        <f ca="1"/>
        <v/>
      </c>
      <c r="E12" s="13" t="str">
        <f ca="1"/>
        <v/>
      </c>
      <c r="F12" s="13" t="str">
        <f ca="1"/>
        <v/>
      </c>
      <c r="G12" t="str">
        <f ca="1"/>
        <v/>
      </c>
      <c r="H12" t="str">
        <f ca="1"/>
        <v/>
      </c>
    </row>
    <row r="13" spans="1:8" x14ac:dyDescent="0.25">
      <c r="A13" t="str">
        <f>Table2426[[#This Row],[Item ID]]</f>
        <v/>
      </c>
      <c r="B13" t="str" cm="1">
        <f t="array" aca="1" ref="B13:H13" ca="1">VLOOKUP(A13,Summary!A$9:$P13,{2,9,12,13,14,15,16},FALSE)</f>
        <v/>
      </c>
      <c r="C13" t="str">
        <f ca="1"/>
        <v/>
      </c>
      <c r="D13" s="13" t="str">
        <f ca="1"/>
        <v/>
      </c>
      <c r="E13" s="13" t="str">
        <f ca="1"/>
        <v/>
      </c>
      <c r="F13" s="13" t="str">
        <f ca="1"/>
        <v/>
      </c>
      <c r="G13" t="str">
        <f ca="1"/>
        <v/>
      </c>
      <c r="H13" t="str">
        <f ca="1"/>
        <v/>
      </c>
    </row>
    <row r="14" spans="1:8" x14ac:dyDescent="0.25">
      <c r="A14" t="str">
        <f>Table2426[[#This Row],[Item ID]]</f>
        <v/>
      </c>
      <c r="B14" t="str" cm="1">
        <f t="array" aca="1" ref="B14:H14" ca="1">VLOOKUP(A14,Summary!A$9:$P14,{2,9,12,13,14,15,16},FALSE)</f>
        <v/>
      </c>
      <c r="C14" t="str">
        <f ca="1"/>
        <v/>
      </c>
      <c r="D14" s="13" t="str">
        <f ca="1"/>
        <v/>
      </c>
      <c r="E14" s="13" t="str">
        <f ca="1"/>
        <v/>
      </c>
      <c r="F14" s="13" t="str">
        <f ca="1"/>
        <v/>
      </c>
      <c r="G14" t="str">
        <f ca="1"/>
        <v/>
      </c>
      <c r="H14" t="str">
        <f ca="1"/>
        <v/>
      </c>
    </row>
    <row r="15" spans="1:8" x14ac:dyDescent="0.25">
      <c r="A15" t="str">
        <f>Table2426[[#This Row],[Item ID]]</f>
        <v/>
      </c>
      <c r="B15" t="str" cm="1">
        <f t="array" aca="1" ref="B15:H15" ca="1">VLOOKUP(A15,Summary!A$9:$P15,{2,9,12,13,14,15,16},FALSE)</f>
        <v/>
      </c>
      <c r="C15" t="str">
        <f ca="1"/>
        <v/>
      </c>
      <c r="D15" s="13" t="str">
        <f ca="1"/>
        <v/>
      </c>
      <c r="E15" s="13" t="str">
        <f ca="1"/>
        <v/>
      </c>
      <c r="F15" s="13" t="str">
        <f ca="1"/>
        <v/>
      </c>
      <c r="G15" t="str">
        <f ca="1"/>
        <v/>
      </c>
      <c r="H15" t="str">
        <f ca="1"/>
        <v/>
      </c>
    </row>
    <row r="16" spans="1:8" x14ac:dyDescent="0.25">
      <c r="A16" t="str">
        <f>Table2426[[#This Row],[Item ID]]</f>
        <v/>
      </c>
      <c r="B16" t="str" cm="1">
        <f t="array" aca="1" ref="B16:H16" ca="1">VLOOKUP(A16,Summary!A$9:$P16,{2,9,12,13,14,15,16},FALSE)</f>
        <v/>
      </c>
      <c r="C16" t="str">
        <f ca="1"/>
        <v/>
      </c>
      <c r="D16" s="13" t="str">
        <f ca="1"/>
        <v/>
      </c>
      <c r="E16" s="13" t="str">
        <f ca="1"/>
        <v/>
      </c>
      <c r="F16" s="13" t="str">
        <f ca="1"/>
        <v/>
      </c>
      <c r="G16" t="str">
        <f ca="1"/>
        <v/>
      </c>
      <c r="H16" t="str">
        <f ca="1"/>
        <v/>
      </c>
    </row>
    <row r="17" spans="1:8" x14ac:dyDescent="0.25">
      <c r="A17" t="str">
        <f>Table2426[[#This Row],[Item ID]]</f>
        <v/>
      </c>
      <c r="B17" t="str" cm="1">
        <f t="array" aca="1" ref="B17:H17" ca="1">VLOOKUP(A17,Summary!A$9:$P17,{2,9,12,13,14,15,16},FALSE)</f>
        <v/>
      </c>
      <c r="C17" t="str">
        <f ca="1"/>
        <v/>
      </c>
      <c r="D17" s="13" t="str">
        <f ca="1"/>
        <v/>
      </c>
      <c r="E17" s="13" t="str">
        <f ca="1"/>
        <v/>
      </c>
      <c r="F17" s="13" t="str">
        <f ca="1"/>
        <v/>
      </c>
      <c r="G17" t="str">
        <f ca="1"/>
        <v/>
      </c>
      <c r="H17" t="str">
        <f ca="1"/>
        <v/>
      </c>
    </row>
    <row r="18" spans="1:8" x14ac:dyDescent="0.25">
      <c r="A18" t="str">
        <f>Table2426[[#This Row],[Item ID]]</f>
        <v/>
      </c>
      <c r="B18" t="str" cm="1">
        <f t="array" aca="1" ref="B18:H18" ca="1">VLOOKUP(A18,Summary!A$9:$P18,{2,9,12,13,14,15,16},FALSE)</f>
        <v/>
      </c>
      <c r="C18" t="str">
        <f ca="1"/>
        <v/>
      </c>
      <c r="D18" s="13" t="str">
        <f ca="1"/>
        <v/>
      </c>
      <c r="E18" s="13" t="str">
        <f ca="1"/>
        <v/>
      </c>
      <c r="F18" s="13" t="str">
        <f ca="1"/>
        <v/>
      </c>
      <c r="G18" t="str">
        <f ca="1"/>
        <v/>
      </c>
      <c r="H18" t="str">
        <f ca="1"/>
        <v/>
      </c>
    </row>
    <row r="19" spans="1:8" x14ac:dyDescent="0.25">
      <c r="A19" t="str">
        <f>Table2426[[#This Row],[Item ID]]</f>
        <v/>
      </c>
      <c r="B19" t="str" cm="1">
        <f t="array" aca="1" ref="B19:H19" ca="1">VLOOKUP(A19,Summary!A$9:$P19,{2,9,12,13,14,15,16},FALSE)</f>
        <v/>
      </c>
      <c r="C19" t="str">
        <f ca="1"/>
        <v/>
      </c>
      <c r="D19" s="13" t="str">
        <f ca="1"/>
        <v/>
      </c>
      <c r="E19" s="13" t="str">
        <f ca="1"/>
        <v/>
      </c>
      <c r="F19" s="13" t="str">
        <f ca="1"/>
        <v/>
      </c>
      <c r="G19" t="str">
        <f ca="1"/>
        <v/>
      </c>
      <c r="H19" t="str">
        <f ca="1"/>
        <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F085AB-2167-4B8F-BB2C-A7B213573138}">
  <sheetPr codeName="Sheet4"/>
  <dimension ref="A1:AI14"/>
  <sheetViews>
    <sheetView showGridLines="0" topLeftCell="P1" workbookViewId="0">
      <selection activeCell="W24" sqref="V24:W24"/>
    </sheetView>
  </sheetViews>
  <sheetFormatPr defaultRowHeight="15" x14ac:dyDescent="0.25"/>
  <cols>
    <col min="1" max="1" width="11.28515625" bestFit="1" customWidth="1"/>
    <col min="2" max="2" width="9.28515625" bestFit="1" customWidth="1"/>
    <col min="3" max="3" width="15.85546875" bestFit="1" customWidth="1"/>
    <col min="4" max="4" width="21.5703125" bestFit="1" customWidth="1"/>
    <col min="6" max="6" width="11.28515625" bestFit="1" customWidth="1"/>
    <col min="7" max="7" width="13.7109375" bestFit="1" customWidth="1"/>
    <col min="9" max="9" width="11.28515625" bestFit="1" customWidth="1"/>
    <col min="10" max="10" width="14.140625" bestFit="1" customWidth="1"/>
    <col min="12" max="12" width="11.28515625" bestFit="1" customWidth="1"/>
    <col min="13" max="13" width="13.7109375" bestFit="1" customWidth="1"/>
    <col min="15" max="15" width="7.140625" bestFit="1" customWidth="1"/>
    <col min="16" max="16" width="26.42578125" bestFit="1" customWidth="1"/>
    <col min="17" max="17" width="17.7109375" bestFit="1" customWidth="1"/>
    <col min="18" max="18" width="13.7109375" bestFit="1" customWidth="1"/>
    <col min="19" max="19" width="14" bestFit="1" customWidth="1"/>
    <col min="20" max="20" width="14.5703125" bestFit="1" customWidth="1"/>
    <col min="21" max="21" width="11.140625" customWidth="1"/>
    <col min="22" max="22" width="12.28515625" bestFit="1" customWidth="1"/>
    <col min="23" max="23" width="17.7109375" bestFit="1" customWidth="1"/>
    <col min="24" max="24" width="13.7109375" bestFit="1" customWidth="1"/>
    <col min="25" max="25" width="14" bestFit="1" customWidth="1"/>
    <col min="26" max="26" width="11.140625" customWidth="1"/>
    <col min="27" max="28" width="13.7109375" bestFit="1" customWidth="1"/>
    <col min="29" max="31" width="11.140625" customWidth="1"/>
    <col min="32" max="32" width="16.7109375" bestFit="1" customWidth="1"/>
    <col min="33" max="33" width="14.7109375" bestFit="1" customWidth="1"/>
    <col min="34" max="34" width="11.140625" bestFit="1" customWidth="1"/>
  </cols>
  <sheetData>
    <row r="1" spans="1:35" x14ac:dyDescent="0.25">
      <c r="P1" s="18" t="s">
        <v>21</v>
      </c>
      <c r="Q1" t="s">
        <v>59</v>
      </c>
    </row>
    <row r="2" spans="1:35" ht="15.75" x14ac:dyDescent="0.25">
      <c r="A2" s="45" t="s">
        <v>58</v>
      </c>
      <c r="D2" s="45"/>
      <c r="F2" s="45" t="s">
        <v>34</v>
      </c>
      <c r="I2" s="45" t="s">
        <v>36</v>
      </c>
      <c r="L2" s="45" t="s">
        <v>37</v>
      </c>
      <c r="P2" s="21" t="s">
        <v>50</v>
      </c>
      <c r="V2" s="21" t="s">
        <v>51</v>
      </c>
      <c r="AF2" s="46" t="s">
        <v>44</v>
      </c>
      <c r="AG2" t="str">
        <f>Q1</f>
        <v>(All)</v>
      </c>
    </row>
    <row r="3" spans="1:35" x14ac:dyDescent="0.25">
      <c r="A3" s="18" t="s">
        <v>33</v>
      </c>
      <c r="B3" t="s">
        <v>32</v>
      </c>
      <c r="C3" t="s">
        <v>57</v>
      </c>
      <c r="D3" t="s">
        <v>62</v>
      </c>
      <c r="F3" s="18" t="s">
        <v>33</v>
      </c>
      <c r="G3" t="s">
        <v>35</v>
      </c>
      <c r="I3" s="18" t="s">
        <v>33</v>
      </c>
      <c r="J3" t="s">
        <v>36</v>
      </c>
      <c r="L3" s="18" t="s">
        <v>33</v>
      </c>
      <c r="M3" t="s">
        <v>38</v>
      </c>
      <c r="P3" s="18" t="s">
        <v>2</v>
      </c>
      <c r="Q3" t="s">
        <v>45</v>
      </c>
      <c r="R3" t="s">
        <v>47</v>
      </c>
      <c r="S3" t="s">
        <v>48</v>
      </c>
      <c r="V3" s="18" t="s">
        <v>33</v>
      </c>
      <c r="W3" t="s">
        <v>45</v>
      </c>
      <c r="X3" t="s">
        <v>47</v>
      </c>
      <c r="Y3" t="s">
        <v>48</v>
      </c>
      <c r="AA3" s="18" t="s">
        <v>33</v>
      </c>
      <c r="AB3" t="s">
        <v>35</v>
      </c>
      <c r="AF3" s="46" t="s">
        <v>39</v>
      </c>
      <c r="AG3">
        <f>O1</f>
        <v>0</v>
      </c>
    </row>
    <row r="4" spans="1:35" x14ac:dyDescent="0.25">
      <c r="A4" s="19">
        <v>1001</v>
      </c>
      <c r="B4" s="60">
        <v>200</v>
      </c>
      <c r="C4" s="60">
        <v>12</v>
      </c>
      <c r="D4" s="60">
        <v>188</v>
      </c>
      <c r="F4" s="19">
        <v>1001</v>
      </c>
      <c r="G4" s="13">
        <v>240</v>
      </c>
      <c r="I4" s="19">
        <v>1001</v>
      </c>
      <c r="J4" s="13">
        <v>60</v>
      </c>
      <c r="L4" s="19">
        <v>1001</v>
      </c>
      <c r="M4" s="13">
        <v>3000</v>
      </c>
      <c r="P4" s="19" t="s">
        <v>68</v>
      </c>
      <c r="Q4" s="13">
        <v>1500</v>
      </c>
      <c r="R4" s="13">
        <v>500</v>
      </c>
      <c r="S4" s="13">
        <v>3000</v>
      </c>
      <c r="V4" s="19" t="s">
        <v>70</v>
      </c>
      <c r="W4" s="13">
        <v>3000</v>
      </c>
      <c r="X4" s="13">
        <v>750</v>
      </c>
      <c r="Y4" s="13">
        <v>2700</v>
      </c>
      <c r="AA4" s="19" t="s">
        <v>71</v>
      </c>
      <c r="AB4" s="13">
        <v>3000</v>
      </c>
      <c r="AF4" s="46" t="s">
        <v>40</v>
      </c>
      <c r="AG4" t="e">
        <f>#REF!</f>
        <v>#REF!</v>
      </c>
    </row>
    <row r="5" spans="1:35" x14ac:dyDescent="0.25">
      <c r="A5" s="19">
        <v>1002</v>
      </c>
      <c r="B5" s="60">
        <v>150</v>
      </c>
      <c r="C5" s="60">
        <v>50</v>
      </c>
      <c r="D5" s="60">
        <v>100</v>
      </c>
      <c r="F5" s="19">
        <v>1002</v>
      </c>
      <c r="G5" s="13">
        <v>1500</v>
      </c>
      <c r="I5" s="19">
        <v>1002</v>
      </c>
      <c r="J5" s="13">
        <v>500</v>
      </c>
      <c r="L5" s="19">
        <v>1002</v>
      </c>
      <c r="M5" s="13">
        <v>3000</v>
      </c>
      <c r="P5" s="19" t="s">
        <v>64</v>
      </c>
      <c r="Q5" s="13">
        <v>240</v>
      </c>
      <c r="R5" s="13">
        <v>60</v>
      </c>
      <c r="S5" s="13">
        <v>3000</v>
      </c>
      <c r="V5" s="19" t="s">
        <v>67</v>
      </c>
      <c r="W5" s="13">
        <v>1500</v>
      </c>
      <c r="X5" s="13">
        <v>500</v>
      </c>
      <c r="Y5" s="13">
        <v>3000</v>
      </c>
      <c r="AA5" s="19" t="s">
        <v>68</v>
      </c>
      <c r="AB5" s="13">
        <v>1500</v>
      </c>
    </row>
    <row r="6" spans="1:35" x14ac:dyDescent="0.25">
      <c r="A6" s="19">
        <v>1003</v>
      </c>
      <c r="B6" s="60">
        <v>300</v>
      </c>
      <c r="C6" s="60">
        <v>250</v>
      </c>
      <c r="D6" s="60">
        <v>50</v>
      </c>
      <c r="F6" s="19">
        <v>1003</v>
      </c>
      <c r="G6" s="13">
        <v>3000</v>
      </c>
      <c r="I6" s="19">
        <v>1003</v>
      </c>
      <c r="J6" s="13">
        <v>750</v>
      </c>
      <c r="L6" s="19">
        <v>1003</v>
      </c>
      <c r="M6" s="13">
        <v>2700</v>
      </c>
      <c r="P6" s="19" t="s">
        <v>71</v>
      </c>
      <c r="Q6" s="13">
        <v>3000</v>
      </c>
      <c r="R6" s="13">
        <v>750</v>
      </c>
      <c r="S6" s="13">
        <v>2700</v>
      </c>
      <c r="V6" s="19" t="s">
        <v>63</v>
      </c>
      <c r="W6" s="13">
        <v>240</v>
      </c>
      <c r="X6" s="13">
        <v>60</v>
      </c>
      <c r="Y6" s="13">
        <v>3000</v>
      </c>
      <c r="AA6" s="19" t="s">
        <v>64</v>
      </c>
      <c r="AB6" s="13">
        <v>240</v>
      </c>
      <c r="AF6" s="21" t="s">
        <v>41</v>
      </c>
      <c r="AG6" s="13">
        <f>GETPIVOTDATA("Sales value",$F$3)</f>
        <v>4740</v>
      </c>
    </row>
    <row r="7" spans="1:35" x14ac:dyDescent="0.25">
      <c r="A7" s="19"/>
      <c r="B7" s="60">
        <v>0</v>
      </c>
      <c r="C7" s="60">
        <v>0</v>
      </c>
      <c r="D7" s="60">
        <v>0</v>
      </c>
      <c r="F7" s="19"/>
      <c r="G7" s="13">
        <v>0</v>
      </c>
      <c r="I7" s="19"/>
      <c r="J7" s="13">
        <v>0</v>
      </c>
      <c r="L7" s="19"/>
      <c r="M7" s="13">
        <v>0</v>
      </c>
      <c r="P7" s="19" t="s">
        <v>25</v>
      </c>
      <c r="Q7" s="13"/>
      <c r="R7" s="13"/>
      <c r="S7" s="13"/>
      <c r="V7" s="19"/>
      <c r="W7" s="13">
        <v>0</v>
      </c>
      <c r="X7" s="13">
        <v>0</v>
      </c>
      <c r="Y7" s="13">
        <v>0</v>
      </c>
      <c r="AA7" s="19" t="s">
        <v>15</v>
      </c>
      <c r="AB7" s="13">
        <v>4740</v>
      </c>
      <c r="AF7" s="21" t="s">
        <v>42</v>
      </c>
      <c r="AG7" s="13">
        <f>GETPIVOTDATA("Profit",$I$3)</f>
        <v>1310</v>
      </c>
    </row>
    <row r="8" spans="1:35" x14ac:dyDescent="0.25">
      <c r="A8" s="19" t="s">
        <v>25</v>
      </c>
      <c r="B8" s="60"/>
      <c r="C8" s="60"/>
      <c r="D8" s="60"/>
      <c r="F8" s="19" t="s">
        <v>25</v>
      </c>
      <c r="G8" s="13"/>
      <c r="I8" s="19" t="s">
        <v>25</v>
      </c>
      <c r="J8" s="13"/>
      <c r="L8" s="19" t="s">
        <v>25</v>
      </c>
      <c r="M8" s="13"/>
      <c r="P8" s="19"/>
      <c r="Q8" s="13">
        <v>0</v>
      </c>
      <c r="R8" s="13">
        <v>0</v>
      </c>
      <c r="S8" s="13">
        <v>0</v>
      </c>
      <c r="V8" s="19" t="s">
        <v>25</v>
      </c>
      <c r="W8" s="13"/>
      <c r="X8" s="13"/>
      <c r="Y8" s="13"/>
      <c r="AF8" s="21" t="s">
        <v>43</v>
      </c>
      <c r="AG8" s="13">
        <f>GETPIVOTDATA("Budget",$L$3)</f>
        <v>8700</v>
      </c>
    </row>
    <row r="9" spans="1:35" x14ac:dyDescent="0.25">
      <c r="A9" s="19" t="s">
        <v>15</v>
      </c>
      <c r="B9" s="60">
        <v>650</v>
      </c>
      <c r="C9" s="60">
        <v>312</v>
      </c>
      <c r="D9" s="60">
        <v>338</v>
      </c>
      <c r="F9" s="19" t="s">
        <v>15</v>
      </c>
      <c r="G9" s="13">
        <v>4740</v>
      </c>
      <c r="I9" s="19" t="s">
        <v>15</v>
      </c>
      <c r="J9" s="13">
        <v>1310</v>
      </c>
      <c r="L9" s="19" t="s">
        <v>15</v>
      </c>
      <c r="M9" s="13">
        <v>8700</v>
      </c>
      <c r="P9" s="19" t="s">
        <v>15</v>
      </c>
      <c r="Q9" s="13">
        <v>4740</v>
      </c>
      <c r="R9" s="13">
        <v>1310</v>
      </c>
      <c r="S9" s="13">
        <v>8700</v>
      </c>
      <c r="V9" s="19" t="s">
        <v>15</v>
      </c>
      <c r="W9" s="13">
        <v>4740</v>
      </c>
      <c r="X9" s="13">
        <v>1310</v>
      </c>
      <c r="Y9" s="13">
        <v>8700</v>
      </c>
    </row>
    <row r="10" spans="1:35" x14ac:dyDescent="0.25">
      <c r="AF10" s="21" t="s">
        <v>55</v>
      </c>
      <c r="AG10" s="47">
        <f>AG6/AG8</f>
        <v>0.54482758620689653</v>
      </c>
      <c r="AH10" s="48">
        <f>1-AG10</f>
        <v>0.45517241379310347</v>
      </c>
      <c r="AI10" s="48">
        <f>AG10+AH10</f>
        <v>1</v>
      </c>
    </row>
    <row r="11" spans="1:35" x14ac:dyDescent="0.25">
      <c r="AF11" s="21" t="s">
        <v>60</v>
      </c>
      <c r="AG11" s="47">
        <f>ABS(AG6-AG8)/AG6</f>
        <v>0.83544303797468356</v>
      </c>
      <c r="AH11" s="48">
        <f>1-AG11</f>
        <v>0.16455696202531644</v>
      </c>
      <c r="AI11" s="48">
        <f>AG11+AH11</f>
        <v>1</v>
      </c>
    </row>
    <row r="12" spans="1:35" x14ac:dyDescent="0.25">
      <c r="AF12" s="21" t="s">
        <v>56</v>
      </c>
      <c r="AG12" s="47">
        <f>ABS(AG6-AG8)/AG8</f>
        <v>0.45517241379310347</v>
      </c>
      <c r="AH12" s="48">
        <f>1-AG12</f>
        <v>0.54482758620689653</v>
      </c>
      <c r="AI12" s="48">
        <f>AG12+AH12</f>
        <v>1</v>
      </c>
    </row>
    <row r="14" spans="1:35" x14ac:dyDescent="0.25">
      <c r="AF14" s="21" t="s">
        <v>61</v>
      </c>
      <c r="AG14" s="13">
        <f>ABS(AG6-AG8)</f>
        <v>3960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E8009-03DC-469C-BF60-CD2FC7399C6C}">
  <sheetPr codeName="Sheet6"/>
  <dimension ref="D32:N44"/>
  <sheetViews>
    <sheetView showGridLines="0" tabSelected="1" zoomScale="98" zoomScaleNormal="98" workbookViewId="0">
      <selection activeCell="Q40" sqref="Q40"/>
    </sheetView>
  </sheetViews>
  <sheetFormatPr defaultRowHeight="15" x14ac:dyDescent="0.25"/>
  <cols>
    <col min="4" max="4" width="17.5703125" bestFit="1" customWidth="1"/>
    <col min="5" max="7" width="18.7109375" customWidth="1"/>
    <col min="8" max="8" width="18.140625" customWidth="1"/>
    <col min="10" max="10" width="16.42578125" bestFit="1" customWidth="1"/>
    <col min="11" max="11" width="15.28515625" customWidth="1"/>
    <col min="12" max="12" width="13.42578125" bestFit="1" customWidth="1"/>
    <col min="13" max="13" width="15" bestFit="1" customWidth="1"/>
    <col min="14" max="14" width="17.28515625" customWidth="1"/>
  </cols>
  <sheetData>
    <row r="32" spans="8:8" x14ac:dyDescent="0.25">
      <c r="H32" s="54"/>
    </row>
    <row r="36" spans="4:14" ht="18.75" x14ac:dyDescent="0.3">
      <c r="D36" s="58" t="s">
        <v>53</v>
      </c>
      <c r="E36" s="56"/>
      <c r="F36" s="56"/>
      <c r="G36" s="56"/>
      <c r="H36" s="57"/>
      <c r="J36" s="58" t="s">
        <v>54</v>
      </c>
      <c r="K36" s="58"/>
      <c r="L36" s="58"/>
      <c r="M36" s="58"/>
      <c r="N36" s="59"/>
    </row>
    <row r="37" spans="4:14" x14ac:dyDescent="0.25">
      <c r="D37" s="51" t="s">
        <v>2</v>
      </c>
      <c r="E37" s="52" t="s">
        <v>46</v>
      </c>
      <c r="F37" s="52" t="s">
        <v>12</v>
      </c>
      <c r="G37" s="52" t="s">
        <v>16</v>
      </c>
      <c r="H37" s="53" t="s">
        <v>49</v>
      </c>
      <c r="J37" s="51" t="s">
        <v>52</v>
      </c>
      <c r="K37" s="52" t="s">
        <v>46</v>
      </c>
      <c r="L37" s="52" t="s">
        <v>12</v>
      </c>
      <c r="M37" s="52" t="s">
        <v>16</v>
      </c>
      <c r="N37" s="53" t="s">
        <v>49</v>
      </c>
    </row>
    <row r="38" spans="4:14" x14ac:dyDescent="0.25">
      <c r="D38" s="49" t="str">
        <f>Pivot!P4</f>
        <v>SOFTDRINKS</v>
      </c>
      <c r="E38" s="50">
        <f>Pivot!Q4</f>
        <v>1500</v>
      </c>
      <c r="F38" s="50">
        <f>Pivot!R4</f>
        <v>500</v>
      </c>
      <c r="G38" s="50">
        <f>Pivot!S4</f>
        <v>3000</v>
      </c>
      <c r="H38" s="55">
        <f t="shared" ref="H38:H43" si="0">IFERROR(E38/G38,"")</f>
        <v>0.5</v>
      </c>
      <c r="J38" s="49" t="str">
        <f>Pivot!V4</f>
        <v>CREAM 0</v>
      </c>
      <c r="K38" s="50">
        <f>Pivot!W4</f>
        <v>3000</v>
      </c>
      <c r="L38" s="50">
        <f>Pivot!X4</f>
        <v>750</v>
      </c>
      <c r="M38" s="50">
        <f>Pivot!Y4</f>
        <v>2700</v>
      </c>
      <c r="N38" s="55">
        <f t="shared" ref="N38:N44" si="1">IFERROR(K38/M38,"")</f>
        <v>1.1111111111111112</v>
      </c>
    </row>
    <row r="39" spans="4:14" x14ac:dyDescent="0.25">
      <c r="D39" s="49" t="str">
        <f>Pivot!P5</f>
        <v>POWDER MILK</v>
      </c>
      <c r="E39" s="50">
        <f>Pivot!Q5</f>
        <v>240</v>
      </c>
      <c r="F39" s="50">
        <f>Pivot!R5</f>
        <v>60</v>
      </c>
      <c r="G39" s="50">
        <f>Pivot!S5</f>
        <v>3000</v>
      </c>
      <c r="H39" s="55">
        <f t="shared" si="0"/>
        <v>0.08</v>
      </c>
      <c r="J39" s="49" t="str">
        <f>Pivot!V5</f>
        <v>RC COLA</v>
      </c>
      <c r="K39" s="50">
        <f>Pivot!W5</f>
        <v>1500</v>
      </c>
      <c r="L39" s="50">
        <f>Pivot!X5</f>
        <v>500</v>
      </c>
      <c r="M39" s="50">
        <f>Pivot!Y5</f>
        <v>3000</v>
      </c>
      <c r="N39" s="55">
        <f t="shared" si="1"/>
        <v>0.5</v>
      </c>
    </row>
    <row r="40" spans="4:14" x14ac:dyDescent="0.25">
      <c r="D40" s="49" t="str">
        <f>Pivot!P6</f>
        <v>BISCUIT</v>
      </c>
      <c r="E40" s="50">
        <f>Pivot!Q6</f>
        <v>3000</v>
      </c>
      <c r="F40" s="50">
        <f>Pivot!R6</f>
        <v>750</v>
      </c>
      <c r="G40" s="50">
        <f>Pivot!S6</f>
        <v>2700</v>
      </c>
      <c r="H40" s="55">
        <f t="shared" si="0"/>
        <v>1.1111111111111112</v>
      </c>
      <c r="J40" s="49" t="str">
        <f>Pivot!V6</f>
        <v>BEAR BRAND</v>
      </c>
      <c r="K40" s="50">
        <f>Pivot!W6</f>
        <v>240</v>
      </c>
      <c r="L40" s="50">
        <f>Pivot!X6</f>
        <v>60</v>
      </c>
      <c r="M40" s="50">
        <f>Pivot!Y6</f>
        <v>3000</v>
      </c>
      <c r="N40" s="55">
        <f t="shared" si="1"/>
        <v>0.08</v>
      </c>
    </row>
    <row r="41" spans="4:14" x14ac:dyDescent="0.25">
      <c r="D41" s="49" t="str">
        <f>Pivot!P7</f>
        <v>(blank)</v>
      </c>
      <c r="E41" s="50">
        <f>Pivot!Q7</f>
        <v>0</v>
      </c>
      <c r="F41" s="50">
        <f>Pivot!R7</f>
        <v>0</v>
      </c>
      <c r="G41" s="50">
        <f>Pivot!S7</f>
        <v>0</v>
      </c>
      <c r="H41" s="55" t="str">
        <f t="shared" si="0"/>
        <v/>
      </c>
      <c r="J41" s="49">
        <f>Pivot!V7</f>
        <v>0</v>
      </c>
      <c r="K41" s="50">
        <f>Pivot!W7</f>
        <v>0</v>
      </c>
      <c r="L41" s="50">
        <f>Pivot!X7</f>
        <v>0</v>
      </c>
      <c r="M41" s="50">
        <f>Pivot!Y7</f>
        <v>0</v>
      </c>
      <c r="N41" s="55" t="str">
        <f t="shared" si="1"/>
        <v/>
      </c>
    </row>
    <row r="42" spans="4:14" x14ac:dyDescent="0.25">
      <c r="D42" s="49">
        <f>Pivot!P8</f>
        <v>0</v>
      </c>
      <c r="E42" s="50">
        <f>Pivot!Q8</f>
        <v>0</v>
      </c>
      <c r="F42" s="50">
        <f>Pivot!R8</f>
        <v>0</v>
      </c>
      <c r="G42" s="50">
        <f>Pivot!S8</f>
        <v>0</v>
      </c>
      <c r="H42" s="55" t="str">
        <f t="shared" si="0"/>
        <v/>
      </c>
      <c r="J42" s="49" t="str">
        <f>Pivot!V8</f>
        <v>(blank)</v>
      </c>
      <c r="K42" s="50">
        <f>Pivot!W8</f>
        <v>0</v>
      </c>
      <c r="L42" s="50">
        <f>Pivot!X8</f>
        <v>0</v>
      </c>
      <c r="M42" s="50">
        <f>Pivot!Y8</f>
        <v>0</v>
      </c>
      <c r="N42" s="55" t="str">
        <f t="shared" si="1"/>
        <v/>
      </c>
    </row>
    <row r="43" spans="4:14" x14ac:dyDescent="0.25">
      <c r="D43" s="49" t="str">
        <f>Pivot!P9</f>
        <v>Grand Total</v>
      </c>
      <c r="E43" s="50">
        <f>Pivot!Q9</f>
        <v>4740</v>
      </c>
      <c r="F43" s="50">
        <f>Pivot!R9</f>
        <v>1310</v>
      </c>
      <c r="G43" s="50">
        <f>Pivot!S9</f>
        <v>8700</v>
      </c>
      <c r="H43" s="55">
        <f t="shared" si="0"/>
        <v>0.54482758620689653</v>
      </c>
      <c r="J43" s="49" t="str">
        <f>Pivot!V9</f>
        <v>Grand Total</v>
      </c>
      <c r="K43" s="50">
        <f>Pivot!W9</f>
        <v>4740</v>
      </c>
      <c r="L43" s="50">
        <f>Pivot!X9</f>
        <v>1310</v>
      </c>
      <c r="M43" s="50">
        <f>Pivot!Y9</f>
        <v>8700</v>
      </c>
      <c r="N43" s="55">
        <f t="shared" si="1"/>
        <v>0.54482758620689653</v>
      </c>
    </row>
    <row r="44" spans="4:14" x14ac:dyDescent="0.25">
      <c r="J44" s="49">
        <f>Pivot!V10</f>
        <v>0</v>
      </c>
      <c r="K44" s="50">
        <f>Pivot!W10</f>
        <v>0</v>
      </c>
      <c r="L44" s="50">
        <f>Pivot!X10</f>
        <v>0</v>
      </c>
      <c r="M44" s="50">
        <f>Pivot!Y10</f>
        <v>0</v>
      </c>
      <c r="N44" s="55" t="str">
        <f t="shared" si="1"/>
        <v/>
      </c>
    </row>
  </sheetData>
  <sheetProtection algorithmName="SHA-512" hashValue="a4oDZiU8cK5xmg5K7YxF8fZxysc5NPgNmBN7Zmea6EQTbD402vFhm3tBMeDFy565Y7rO5HLzw7dUJ1kLqG5VNg==" saltValue="8rk3FeTXCU9Bjzpa0WcAmg==" spinCount="100000" sheet="1" objects="1" scenarios="1"/>
  <conditionalFormatting sqref="H38:H43">
    <cfRule type="dataBar" priority="3">
      <dataBar>
        <cfvo type="min"/>
        <cfvo type="max"/>
        <color rgb="FF63C384"/>
      </dataBar>
      <extLst>
        <ext xmlns:x14="http://schemas.microsoft.com/office/spreadsheetml/2009/9/main" uri="{B025F937-C7B1-47D3-B67F-A62EFF666E3E}">
          <x14:id>{CE05136F-8B01-42F9-98B6-A6A5CB5ECF46}</x14:id>
        </ext>
      </extLst>
    </cfRule>
  </conditionalFormatting>
  <conditionalFormatting sqref="N38:N44">
    <cfRule type="dataBar" priority="2">
      <dataBar>
        <cfvo type="min"/>
        <cfvo type="max"/>
        <color rgb="FFD6007B"/>
      </dataBar>
      <extLst>
        <ext xmlns:x14="http://schemas.microsoft.com/office/spreadsheetml/2009/9/main" uri="{B025F937-C7B1-47D3-B67F-A62EFF666E3E}">
          <x14:id>{E88627A7-9ED6-4831-B0E1-1AF2CB483391}</x14:id>
        </ext>
      </extLst>
    </cfRule>
  </conditionalFormatting>
  <conditionalFormatting sqref="N38:N43">
    <cfRule type="dataBar" priority="1">
      <dataBar>
        <cfvo type="min"/>
        <cfvo type="max"/>
        <color rgb="FFFFB628"/>
      </dataBar>
      <extLst>
        <ext xmlns:x14="http://schemas.microsoft.com/office/spreadsheetml/2009/9/main" uri="{B025F937-C7B1-47D3-B67F-A62EFF666E3E}">
          <x14:id>{698624D0-31D2-4730-8FF5-A94D4432E37E}</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RefreshAllPivotTables">
                <anchor moveWithCells="1" sizeWithCells="1">
                  <from>
                    <xdr:col>0</xdr:col>
                    <xdr:colOff>200025</xdr:colOff>
                    <xdr:row>27</xdr:row>
                    <xdr:rowOff>190500</xdr:rowOff>
                  </from>
                  <to>
                    <xdr:col>2</xdr:col>
                    <xdr:colOff>333375</xdr:colOff>
                    <xdr:row>30</xdr:row>
                    <xdr:rowOff>76200</xdr:rowOff>
                  </to>
                </anchor>
              </controlPr>
            </control>
          </mc:Choice>
        </mc:AlternateContent>
        <mc:AlternateContent xmlns:mc="http://schemas.openxmlformats.org/markup-compatibility/2006">
          <mc:Choice Requires="x14">
            <control shapeId="2051" r:id="rId4" name="Button 3">
              <controlPr defaultSize="0" print="0" autoFill="0" autoPict="0" macro="[0]!Button3_Click">
                <anchor moveWithCells="1" sizeWithCells="1">
                  <from>
                    <xdr:col>0</xdr:col>
                    <xdr:colOff>200025</xdr:colOff>
                    <xdr:row>30</xdr:row>
                    <xdr:rowOff>161925</xdr:rowOff>
                  </from>
                  <to>
                    <xdr:col>2</xdr:col>
                    <xdr:colOff>333375</xdr:colOff>
                    <xdr:row>33</xdr:row>
                    <xdr:rowOff>57150</xdr:rowOff>
                  </to>
                </anchor>
              </controlPr>
            </control>
          </mc:Choice>
        </mc:AlternateContent>
      </controls>
    </mc:Choice>
  </mc:AlternateContent>
  <tableParts count="2">
    <tablePart r:id="rId5"/>
    <tablePart r:id="rId6"/>
  </tableParts>
  <extLst>
    <ext xmlns:x14="http://schemas.microsoft.com/office/spreadsheetml/2009/9/main" uri="{78C0D931-6437-407d-A8EE-F0AAD7539E65}">
      <x14:conditionalFormattings>
        <x14:conditionalFormatting xmlns:xm="http://schemas.microsoft.com/office/excel/2006/main">
          <x14:cfRule type="dataBar" id="{CE05136F-8B01-42F9-98B6-A6A5CB5ECF46}">
            <x14:dataBar minLength="0" maxLength="100" gradient="0">
              <x14:cfvo type="autoMin"/>
              <x14:cfvo type="autoMax"/>
              <x14:negativeFillColor rgb="FFFF0000"/>
              <x14:axisColor rgb="FF000000"/>
            </x14:dataBar>
          </x14:cfRule>
          <xm:sqref>H38:H43</xm:sqref>
        </x14:conditionalFormatting>
        <x14:conditionalFormatting xmlns:xm="http://schemas.microsoft.com/office/excel/2006/main">
          <x14:cfRule type="dataBar" id="{E88627A7-9ED6-4831-B0E1-1AF2CB483391}">
            <x14:dataBar minLength="0" maxLength="100" gradient="0">
              <x14:cfvo type="autoMin"/>
              <x14:cfvo type="autoMax"/>
              <x14:negativeFillColor rgb="FFFF0000"/>
              <x14:axisColor rgb="FF000000"/>
            </x14:dataBar>
          </x14:cfRule>
          <xm:sqref>N38:N44</xm:sqref>
        </x14:conditionalFormatting>
        <x14:conditionalFormatting xmlns:xm="http://schemas.microsoft.com/office/excel/2006/main">
          <x14:cfRule type="dataBar" id="{698624D0-31D2-4730-8FF5-A94D4432E37E}">
            <x14:dataBar minLength="0" maxLength="100" gradient="0">
              <x14:cfvo type="autoMin"/>
              <x14:cfvo type="autoMax"/>
              <x14:negativeFillColor rgb="FFFF0000"/>
              <x14:axisColor rgb="FF000000"/>
            </x14:dataBar>
          </x14:cfRule>
          <xm:sqref>N38:N43</xm:sqref>
        </x14:conditionalFormatting>
      </x14:conditionalFormattings>
    </ext>
    <ext xmlns:x14="http://schemas.microsoft.com/office/spreadsheetml/2009/9/main" uri="{A8765BA9-456A-4dab-B4F3-ACF838C121DE}">
      <x14:slicerList>
        <x14:slicer r:id="rId7"/>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
  <sheetViews>
    <sheetView showGridLines="0" workbookViewId="0">
      <selection activeCell="C13" sqref="C13"/>
    </sheetView>
  </sheetViews>
  <sheetFormatPr defaultRowHeight="15" x14ac:dyDescent="0.25"/>
  <cols>
    <col min="1" max="1" width="9.42578125" customWidth="1"/>
    <col min="2" max="2" width="20.7109375" customWidth="1"/>
    <col min="3" max="3" width="23.5703125" customWidth="1"/>
    <col min="4" max="8" width="20.7109375" customWidth="1"/>
  </cols>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vt:i4>
      </vt:variant>
    </vt:vector>
  </HeadingPairs>
  <TitlesOfParts>
    <vt:vector size="11" baseType="lpstr">
      <vt:lpstr>Form</vt:lpstr>
      <vt:lpstr>ItemMaster</vt:lpstr>
      <vt:lpstr>Sales</vt:lpstr>
      <vt:lpstr>Summary</vt:lpstr>
      <vt:lpstr>Lookup</vt:lpstr>
      <vt:lpstr>Pivot</vt:lpstr>
      <vt:lpstr>Dashboard</vt:lpstr>
      <vt:lpstr>SearchData</vt:lpstr>
      <vt:lpstr>data</vt:lpstr>
      <vt:lpstr>item_data</vt:lpstr>
      <vt:lpstr>MASTER_LIST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Courtney Madronero [Receiver]</dc:creator>
  <cp:lastModifiedBy>Courteny Madronero</cp:lastModifiedBy>
  <cp:lastPrinted>2026-06-08T07:40:47Z</cp:lastPrinted>
  <dcterms:created xsi:type="dcterms:W3CDTF">2025-08-16T11:09:10Z</dcterms:created>
  <dcterms:modified xsi:type="dcterms:W3CDTF">2026-08-18T09:51:19Z</dcterms:modified>
</cp:coreProperties>
</file>