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aaketjoshi/Documents/UT Austin/Courses/Advanced Corporate Finance Investments/Portfolio Theory/Assignment 1/Final Submission/"/>
    </mc:Choice>
  </mc:AlternateContent>
  <xr:revisionPtr revIDLastSave="0" documentId="13_ncr:1_{32AEA91F-9D14-DA4D-AF70-492617376445}" xr6:coauthVersionLast="47" xr6:coauthVersionMax="47" xr10:uidLastSave="{00000000-0000-0000-0000-000000000000}"/>
  <bookViews>
    <workbookView xWindow="60" yWindow="500" windowWidth="28740" windowHeight="16420" activeTab="5" xr2:uid="{00000000-000D-0000-FFFF-FFFF00000000}"/>
  </bookViews>
  <sheets>
    <sheet name="Q1&amp;Q2" sheetId="3" r:id="rId1"/>
    <sheet name="Q3,Q4,Q5,Q7" sheetId="4" r:id="rId2"/>
    <sheet name="Q6 - Scenario A" sheetId="12" r:id="rId3"/>
    <sheet name="Q6 - Scenario B" sheetId="15" r:id="rId4"/>
    <sheet name="Q6 - C" sheetId="14" r:id="rId5"/>
    <sheet name="Q8 - Python code output" sheetId="10" r:id="rId6"/>
  </sheets>
  <definedNames>
    <definedName name="COVMAT">'Q3,Q4,Q5,Q7'!$AA$5:$AK$15</definedName>
    <definedName name="COVMAT2">'Q3,Q4,Q5,Q7'!$AA$21:$AK$31</definedName>
    <definedName name="EMAT">'Q3,Q4,Q5,Q7'!$M$3:$W$76</definedName>
    <definedName name="EPAMAT">'Q3,Q4,Q5,Q7'!$Z$51:$AL$63</definedName>
    <definedName name="EPBVEC1">'Q3,Q4,Q5,Q7'!$AP$51:$AP$63</definedName>
    <definedName name="EPBVEC2">'Q3,Q4,Q5,Q7'!$AQ$51:$AQ$63</definedName>
    <definedName name="EPORT2">'Q3,Q4,Q5,Q7'!$BD$3:$BD$13</definedName>
    <definedName name="EPPORT">'Q3,Q4,Q5,Q7'!$BC$3:$BC$13</definedName>
    <definedName name="EPPORT1">'Q3,Q4,Q5,Q7'!$BC$3:$BC$13</definedName>
    <definedName name="EPPORT2">'Q3,Q4,Q5,Q7'!$BD$3:$BD$13</definedName>
    <definedName name="ETF">'Q3,Q4,Q5,Q7'!$B$2:$L$2</definedName>
    <definedName name="GMVAMAT">'Q3,Q4,Q5,Q7'!$Z$36:$AK$47</definedName>
    <definedName name="GMVBVEC">'Q3,Q4,Q5,Q7'!$AP$36:$AP$47</definedName>
    <definedName name="GMVPORT">'Q3,Q4,Q5,Q7'!$BB$3:$BB$13</definedName>
    <definedName name="MUSTAR1">'Q3,Q4,Q5,Q7'!$AV$3</definedName>
    <definedName name="MUSTAR2">'Q3,Q4,Q5,Q7'!$AW$3</definedName>
    <definedName name="MUVEC">'Q3,Q4,Q5,Q7'!$AN$3:$AN$13</definedName>
    <definedName name="ONEVEC">'Q3,Q4,Q5,Q7'!$AP$3:$AP$13</definedName>
    <definedName name="ORIPORT">'Q3,Q4,Q5,Q7'!$BA$3:$BA$13</definedName>
    <definedName name="ORP">'Q3,Q4,Q5,Q7'!$BE$3:$BE$13</definedName>
    <definedName name="RF">'Q3,Q4,Q5,Q7'!$AT$2</definedName>
    <definedName name="solver_adj" localSheetId="1" hidden="1">'Q3,Q4,Q5,Q7'!$BE$3:$BE$13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'Q3,Q4,Q5,Q7'!$BE$15</definedName>
    <definedName name="solver_lhs2" localSheetId="1" hidden="1">'Q3,Q4,Q5,Q7'!$BE$3:$BE$13</definedName>
    <definedName name="solver_lhs3" localSheetId="1" hidden="1">'Q3,Q4,Q5,Q7'!$BE$3:$BE$13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'Q3,Q4,Q5,Q7'!$BE$19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0.35</definedName>
    <definedName name="solver_rhs3" localSheetId="1" hidden="1">-0.2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XLB">'Q3,Q4,Q5,Q7'!$B$3:$B$76</definedName>
    <definedName name="XLC">'Q3,Q4,Q5,Q7'!$C$3:$C$76</definedName>
    <definedName name="XLE">'Q3,Q4,Q5,Q7'!$D$3:$D$76</definedName>
    <definedName name="XLF">'Q3,Q4,Q5,Q7'!$E$3:$E$76</definedName>
    <definedName name="XLI">'Q3,Q4,Q5,Q7'!$F$3:$F$76</definedName>
    <definedName name="XLK">'Q3,Q4,Q5,Q7'!$G$3:$G$76</definedName>
    <definedName name="XLP">'Q3,Q4,Q5,Q7'!$H$3:$H$76</definedName>
    <definedName name="XLRE">'Q3,Q4,Q5,Q7'!$I$3:$I$76</definedName>
    <definedName name="XLU">'Q3,Q4,Q5,Q7'!$J$3:$J$76</definedName>
    <definedName name="XLV">'Q3,Q4,Q5,Q7'!$K$3:$K$76</definedName>
    <definedName name="XLY">'Q3,Q4,Q5,Q7'!$L$3:$L$76</definedName>
    <definedName name="ZEROVEC">'Q3,Q4,Q5,Q7'!$AQ$3:$AQ$13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5" i="4" l="1"/>
  <c r="BT286" i="4"/>
  <c r="BT287" i="4"/>
  <c r="BT288" i="4"/>
  <c r="BT289" i="4"/>
  <c r="BT290" i="4"/>
  <c r="BT291" i="4"/>
  <c r="BT292" i="4"/>
  <c r="BT293" i="4"/>
  <c r="BT294" i="4"/>
  <c r="BT295" i="4"/>
  <c r="BT296" i="4"/>
  <c r="BT297" i="4"/>
  <c r="BT298" i="4"/>
  <c r="BT299" i="4"/>
  <c r="BT300" i="4"/>
  <c r="BT301" i="4"/>
  <c r="BT302" i="4"/>
  <c r="BT303" i="4"/>
  <c r="BT304" i="4"/>
  <c r="BT305" i="4"/>
  <c r="BT306" i="4"/>
  <c r="BT307" i="4"/>
  <c r="BT308" i="4"/>
  <c r="BT309" i="4"/>
  <c r="BT310" i="4"/>
  <c r="BT311" i="4"/>
  <c r="BT312" i="4"/>
  <c r="BT313" i="4"/>
  <c r="BT314" i="4"/>
  <c r="BT315" i="4"/>
  <c r="BT316" i="4"/>
  <c r="BT317" i="4"/>
  <c r="BT318" i="4"/>
  <c r="BT319" i="4"/>
  <c r="BT320" i="4"/>
  <c r="BT321" i="4"/>
  <c r="BT322" i="4"/>
  <c r="BT323" i="4"/>
  <c r="BT324" i="4"/>
  <c r="BT325" i="4"/>
  <c r="BT326" i="4"/>
  <c r="BT327" i="4"/>
  <c r="BT328" i="4"/>
  <c r="BT329" i="4"/>
  <c r="BT330" i="4"/>
  <c r="BT331" i="4"/>
  <c r="BT332" i="4"/>
  <c r="BT333" i="4"/>
  <c r="BT334" i="4"/>
  <c r="BT335" i="4"/>
  <c r="BT137" i="4"/>
  <c r="BT138" i="4"/>
  <c r="BT139" i="4"/>
  <c r="BT140" i="4"/>
  <c r="BT141" i="4"/>
  <c r="BT142" i="4"/>
  <c r="BT143" i="4"/>
  <c r="BT144" i="4"/>
  <c r="BT145" i="4"/>
  <c r="BT146" i="4"/>
  <c r="BT147" i="4"/>
  <c r="BT148" i="4"/>
  <c r="BT149" i="4"/>
  <c r="BT150" i="4"/>
  <c r="BT151" i="4"/>
  <c r="BT152" i="4"/>
  <c r="BT153" i="4"/>
  <c r="BT154" i="4"/>
  <c r="BT155" i="4"/>
  <c r="BT156" i="4"/>
  <c r="BT157" i="4"/>
  <c r="BT158" i="4"/>
  <c r="BT159" i="4"/>
  <c r="BT160" i="4"/>
  <c r="BT161" i="4"/>
  <c r="BT162" i="4"/>
  <c r="BT163" i="4"/>
  <c r="BT164" i="4"/>
  <c r="BT165" i="4"/>
  <c r="BT166" i="4"/>
  <c r="BT167" i="4"/>
  <c r="BT168" i="4"/>
  <c r="BT169" i="4"/>
  <c r="BT170" i="4"/>
  <c r="BT171" i="4"/>
  <c r="BT172" i="4"/>
  <c r="BT173" i="4"/>
  <c r="BT174" i="4"/>
  <c r="BT175" i="4"/>
  <c r="BT176" i="4"/>
  <c r="BT177" i="4"/>
  <c r="BT178" i="4"/>
  <c r="BT179" i="4"/>
  <c r="BT180" i="4"/>
  <c r="BT181" i="4"/>
  <c r="BT182" i="4"/>
  <c r="BT183" i="4"/>
  <c r="BT184" i="4"/>
  <c r="BT185" i="4"/>
  <c r="BT186" i="4"/>
  <c r="BT187" i="4"/>
  <c r="BT188" i="4"/>
  <c r="BT189" i="4"/>
  <c r="BT190" i="4"/>
  <c r="BT191" i="4"/>
  <c r="BT192" i="4"/>
  <c r="BT193" i="4"/>
  <c r="BT194" i="4"/>
  <c r="BT195" i="4"/>
  <c r="BT196" i="4"/>
  <c r="BT197" i="4"/>
  <c r="BT198" i="4"/>
  <c r="BT199" i="4"/>
  <c r="BT200" i="4"/>
  <c r="BT201" i="4"/>
  <c r="BT202" i="4"/>
  <c r="BT203" i="4"/>
  <c r="BT204" i="4"/>
  <c r="BT205" i="4"/>
  <c r="BT206" i="4"/>
  <c r="BT207" i="4"/>
  <c r="BT208" i="4"/>
  <c r="BT209" i="4"/>
  <c r="BT210" i="4"/>
  <c r="BT211" i="4"/>
  <c r="BT212" i="4"/>
  <c r="BT213" i="4"/>
  <c r="BT214" i="4"/>
  <c r="BT215" i="4"/>
  <c r="BT216" i="4"/>
  <c r="BT217" i="4"/>
  <c r="BT218" i="4"/>
  <c r="BT219" i="4"/>
  <c r="BT220" i="4"/>
  <c r="BT221" i="4"/>
  <c r="BT222" i="4"/>
  <c r="BT223" i="4"/>
  <c r="BT224" i="4"/>
  <c r="BT225" i="4"/>
  <c r="BT226" i="4"/>
  <c r="BT227" i="4"/>
  <c r="BT228" i="4"/>
  <c r="BT229" i="4"/>
  <c r="BT230" i="4"/>
  <c r="BT231" i="4"/>
  <c r="BT232" i="4"/>
  <c r="BT233" i="4"/>
  <c r="BT234" i="4"/>
  <c r="BT235" i="4"/>
  <c r="BT236" i="4"/>
  <c r="BT237" i="4"/>
  <c r="BT238" i="4"/>
  <c r="BT239" i="4"/>
  <c r="BT240" i="4"/>
  <c r="BT241" i="4"/>
  <c r="BT242" i="4"/>
  <c r="BT243" i="4"/>
  <c r="BT244" i="4"/>
  <c r="BT245" i="4"/>
  <c r="BT246" i="4"/>
  <c r="BT247" i="4"/>
  <c r="BT248" i="4"/>
  <c r="BT249" i="4"/>
  <c r="BT250" i="4"/>
  <c r="BT251" i="4"/>
  <c r="BT252" i="4"/>
  <c r="BT253" i="4"/>
  <c r="BT254" i="4"/>
  <c r="BT255" i="4"/>
  <c r="BT256" i="4"/>
  <c r="BT257" i="4"/>
  <c r="BT258" i="4"/>
  <c r="BT259" i="4"/>
  <c r="BT260" i="4"/>
  <c r="BT261" i="4"/>
  <c r="BT262" i="4"/>
  <c r="BT263" i="4"/>
  <c r="BT264" i="4"/>
  <c r="BT265" i="4"/>
  <c r="BT266" i="4"/>
  <c r="BT267" i="4"/>
  <c r="BT268" i="4"/>
  <c r="BT269" i="4"/>
  <c r="BT270" i="4"/>
  <c r="BT271" i="4"/>
  <c r="BT272" i="4"/>
  <c r="BT273" i="4"/>
  <c r="BT274" i="4"/>
  <c r="BT275" i="4"/>
  <c r="BT276" i="4"/>
  <c r="BT277" i="4"/>
  <c r="BT278" i="4"/>
  <c r="BT279" i="4"/>
  <c r="BT280" i="4"/>
  <c r="BT281" i="4"/>
  <c r="BT282" i="4"/>
  <c r="BT283" i="4"/>
  <c r="BT284" i="4"/>
  <c r="BT285" i="4"/>
  <c r="BS136" i="4" a="1"/>
  <c r="BS136" i="4" s="1"/>
  <c r="BT136" i="4" s="1"/>
  <c r="BB24" i="4" a="1"/>
  <c r="BB24" i="4" s="1"/>
  <c r="BC24" i="4" s="1"/>
  <c r="AK36" i="4" a="1"/>
  <c r="AK36" i="4" s="1"/>
  <c r="AP36" i="4" a="1"/>
  <c r="AP36" i="4"/>
  <c r="Z47" i="4" a="1"/>
  <c r="Z47" i="4" s="1"/>
  <c r="AP51" i="4" a="1"/>
  <c r="AP51" i="4" s="1"/>
  <c r="AQ51" i="4" a="1"/>
  <c r="AQ51" i="4" s="1"/>
  <c r="AQ63" i="4"/>
  <c r="BC76" i="4" l="1"/>
  <c r="BC150" i="4"/>
  <c r="BC134" i="4"/>
  <c r="BC30" i="4"/>
  <c r="BC110" i="4"/>
  <c r="BC145" i="4"/>
  <c r="BC137" i="4"/>
  <c r="BC129" i="4"/>
  <c r="BC121" i="4"/>
  <c r="BC113" i="4"/>
  <c r="BC105" i="4"/>
  <c r="BC97" i="4"/>
  <c r="BC89" i="4"/>
  <c r="BC81" i="4"/>
  <c r="BC73" i="4"/>
  <c r="BC65" i="4"/>
  <c r="BC57" i="4"/>
  <c r="BC49" i="4"/>
  <c r="BC41" i="4"/>
  <c r="BC33" i="4"/>
  <c r="BC25" i="4"/>
  <c r="BC142" i="4"/>
  <c r="BC118" i="4"/>
  <c r="BC94" i="4"/>
  <c r="BC70" i="4"/>
  <c r="BC54" i="4"/>
  <c r="BC38" i="4"/>
  <c r="BC141" i="4"/>
  <c r="BC125" i="4"/>
  <c r="BC109" i="4"/>
  <c r="BC93" i="4"/>
  <c r="BC69" i="4"/>
  <c r="BC148" i="4"/>
  <c r="BC132" i="4"/>
  <c r="BC116" i="4"/>
  <c r="BC100" i="4"/>
  <c r="BC84" i="4"/>
  <c r="BC60" i="4"/>
  <c r="BC44" i="4"/>
  <c r="BC36" i="4"/>
  <c r="BC147" i="4"/>
  <c r="BC131" i="4"/>
  <c r="BC115" i="4"/>
  <c r="BC99" i="4"/>
  <c r="BC91" i="4"/>
  <c r="BC83" i="4"/>
  <c r="BC67" i="4"/>
  <c r="BC59" i="4"/>
  <c r="BC51" i="4"/>
  <c r="BC43" i="4"/>
  <c r="BC35" i="4"/>
  <c r="BC27" i="4"/>
  <c r="BC146" i="4"/>
  <c r="BC130" i="4"/>
  <c r="BC114" i="4"/>
  <c r="BC90" i="4"/>
  <c r="BC144" i="4"/>
  <c r="BC136" i="4"/>
  <c r="BC128" i="4"/>
  <c r="BC120" i="4"/>
  <c r="BC112" i="4"/>
  <c r="BC104" i="4"/>
  <c r="BC96" i="4"/>
  <c r="BC88" i="4"/>
  <c r="BC80" i="4"/>
  <c r="BC72" i="4"/>
  <c r="BC64" i="4"/>
  <c r="BC56" i="4"/>
  <c r="BC48" i="4"/>
  <c r="BC40" i="4"/>
  <c r="BC32" i="4"/>
  <c r="BC126" i="4"/>
  <c r="BC102" i="4"/>
  <c r="BC86" i="4"/>
  <c r="BC78" i="4"/>
  <c r="BC62" i="4"/>
  <c r="BC46" i="4"/>
  <c r="BC149" i="4"/>
  <c r="BC133" i="4"/>
  <c r="BC117" i="4"/>
  <c r="BC101" i="4"/>
  <c r="BC85" i="4"/>
  <c r="BC77" i="4"/>
  <c r="BC61" i="4"/>
  <c r="BC53" i="4"/>
  <c r="BC45" i="4"/>
  <c r="BC37" i="4"/>
  <c r="BC29" i="4"/>
  <c r="BC140" i="4"/>
  <c r="BC124" i="4"/>
  <c r="BC108" i="4"/>
  <c r="BC92" i="4"/>
  <c r="BC68" i="4"/>
  <c r="BC52" i="4"/>
  <c r="BC28" i="4"/>
  <c r="BC139" i="4"/>
  <c r="BC123" i="4"/>
  <c r="BC107" i="4"/>
  <c r="BC75" i="4"/>
  <c r="BC138" i="4"/>
  <c r="BC122" i="4"/>
  <c r="BC106" i="4"/>
  <c r="BC98" i="4"/>
  <c r="BC82" i="4"/>
  <c r="BC74" i="4"/>
  <c r="BC66" i="4"/>
  <c r="BC58" i="4"/>
  <c r="BC50" i="4"/>
  <c r="BC42" i="4"/>
  <c r="BC34" i="4"/>
  <c r="BC26" i="4"/>
  <c r="BC151" i="4"/>
  <c r="BC143" i="4"/>
  <c r="BC135" i="4"/>
  <c r="BC127" i="4"/>
  <c r="BC119" i="4"/>
  <c r="BC111" i="4"/>
  <c r="BC103" i="4"/>
  <c r="BC95" i="4"/>
  <c r="BC87" i="4"/>
  <c r="BC79" i="4"/>
  <c r="BC71" i="4"/>
  <c r="BC63" i="4"/>
  <c r="BC55" i="4"/>
  <c r="BC47" i="4"/>
  <c r="BC39" i="4"/>
  <c r="BC31" i="4"/>
  <c r="BA15" i="4"/>
  <c r="AT2" i="4" l="1"/>
  <c r="AM3" i="4" a="1"/>
  <c r="AM3" i="4" s="1"/>
  <c r="Z21" i="4" a="1"/>
  <c r="Z21" i="4" s="1"/>
  <c r="AA20" i="4" a="1"/>
  <c r="AA20" i="4" s="1"/>
  <c r="Z5" i="4" a="1"/>
  <c r="Z5" i="4" s="1"/>
  <c r="AA4" i="4" a="1"/>
  <c r="AA4" i="4" s="1"/>
  <c r="M2" i="4" a="1"/>
  <c r="M2" i="4" s="1"/>
  <c r="AN10" i="4"/>
  <c r="AN7" i="4"/>
  <c r="AN6" i="4"/>
  <c r="AN4" i="4"/>
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="4" a="1"/>
  <c r="M3" i="4" a="1"/>
  <c r="N3" i="4" a="1"/>
  <c r="AN13" i="4"/>
  <c r="AN3" i="4"/>
  <c r="Q3" i="4" a="1"/>
  <c r="AN11" i="4"/>
  <c r="BE18" i="4" l="1" a="1"/>
  <c r="BE18" i="4" s="1"/>
  <c r="BA18" i="4" a="1"/>
  <c r="BA18" i="4" s="1"/>
  <c r="BI7" i="4" s="1"/>
  <c r="BF231" i="4"/>
  <c r="AL51" i="4" a="1"/>
  <c r="AL51" i="4" s="1"/>
  <c r="Z63" i="4" a="1"/>
  <c r="Z63" i="4" s="1"/>
  <c r="O3" i="4"/>
  <c r="S3" i="4"/>
  <c r="U3" i="4"/>
  <c r="Q3" i="4"/>
  <c r="T3" i="4"/>
  <c r="P3" i="4"/>
  <c r="W3" i="4"/>
  <c r="V3" i="4"/>
  <c r="R3" i="4"/>
  <c r="N3" i="4"/>
  <c r="M3" i="4"/>
  <c r="BL7" i="4" l="1"/>
  <c r="AV3" i="4"/>
  <c r="AP63" i="4" s="1"/>
  <c r="AA5" i="4" a="1"/>
  <c r="AA5" i="4" l="1"/>
  <c r="AA21" i="4" l="1" a="1"/>
  <c r="AA21" i="4" s="1"/>
  <c r="Z36" i="4" s="1" a="1"/>
  <c r="Z36" i="4" s="1"/>
  <c r="BE16" i="4" a="1"/>
  <c r="BE16" i="4" s="1"/>
  <c r="BE17" i="4" s="1"/>
  <c r="BA16" i="4" a="1"/>
  <c r="BA16" i="4" s="1"/>
  <c r="BA17" i="4" s="1"/>
  <c r="BE19" i="4" l="1"/>
  <c r="BL6" i="4"/>
  <c r="BA19" i="4"/>
  <c r="BI6" i="4"/>
  <c r="BF6" i="4"/>
  <c r="Z51" i="4" a="1"/>
  <c r="Z51" i="4" s="1"/>
  <c r="BB3" i="4" a="1"/>
  <c r="BV286" i="4" l="1"/>
  <c r="BV294" i="4"/>
  <c r="BV302" i="4"/>
  <c r="BV310" i="4"/>
  <c r="BV318" i="4"/>
  <c r="BV326" i="4"/>
  <c r="BV334" i="4"/>
  <c r="BV305" i="4"/>
  <c r="BV298" i="4"/>
  <c r="BV323" i="4"/>
  <c r="BV292" i="4"/>
  <c r="BV317" i="4"/>
  <c r="BV287" i="4"/>
  <c r="BV295" i="4"/>
  <c r="BV303" i="4"/>
  <c r="BV311" i="4"/>
  <c r="BV319" i="4"/>
  <c r="BV327" i="4"/>
  <c r="BV335" i="4"/>
  <c r="BV313" i="4"/>
  <c r="BV329" i="4"/>
  <c r="BV306" i="4"/>
  <c r="BV314" i="4"/>
  <c r="BV330" i="4"/>
  <c r="BV307" i="4"/>
  <c r="BV300" i="4"/>
  <c r="BV324" i="4"/>
  <c r="BV301" i="4"/>
  <c r="BV325" i="4"/>
  <c r="BV288" i="4"/>
  <c r="BV296" i="4"/>
  <c r="BV304" i="4"/>
  <c r="BV312" i="4"/>
  <c r="BV320" i="4"/>
  <c r="BV328" i="4"/>
  <c r="BV297" i="4"/>
  <c r="BV321" i="4"/>
  <c r="BV290" i="4"/>
  <c r="BV322" i="4"/>
  <c r="BV315" i="4"/>
  <c r="BV308" i="4"/>
  <c r="BV332" i="4"/>
  <c r="BV293" i="4"/>
  <c r="BV333" i="4"/>
  <c r="BV289" i="4"/>
  <c r="BV291" i="4"/>
  <c r="BV299" i="4"/>
  <c r="BV331" i="4"/>
  <c r="BV316" i="4"/>
  <c r="BV309" i="4"/>
  <c r="BU136" i="4"/>
  <c r="BU286" i="4"/>
  <c r="BU294" i="4"/>
  <c r="BU302" i="4"/>
  <c r="BU310" i="4"/>
  <c r="BU318" i="4"/>
  <c r="BU326" i="4"/>
  <c r="BU334" i="4"/>
  <c r="BU305" i="4"/>
  <c r="BU315" i="4"/>
  <c r="BU316" i="4"/>
  <c r="BU301" i="4"/>
  <c r="BU287" i="4"/>
  <c r="BU295" i="4"/>
  <c r="BU303" i="4"/>
  <c r="BU311" i="4"/>
  <c r="BU319" i="4"/>
  <c r="BU327" i="4"/>
  <c r="BU335" i="4"/>
  <c r="BU313" i="4"/>
  <c r="BU329" i="4"/>
  <c r="BU307" i="4"/>
  <c r="BU308" i="4"/>
  <c r="BU332" i="4"/>
  <c r="BU309" i="4"/>
  <c r="BU288" i="4"/>
  <c r="BU296" i="4"/>
  <c r="BU304" i="4"/>
  <c r="BU312" i="4"/>
  <c r="BU320" i="4"/>
  <c r="BU328" i="4"/>
  <c r="BU297" i="4"/>
  <c r="BU321" i="4"/>
  <c r="BU331" i="4"/>
  <c r="BU300" i="4"/>
  <c r="BU293" i="4"/>
  <c r="BU325" i="4"/>
  <c r="BU289" i="4"/>
  <c r="BU290" i="4"/>
  <c r="BU298" i="4"/>
  <c r="BU306" i="4"/>
  <c r="BU314" i="4"/>
  <c r="BU322" i="4"/>
  <c r="BU330" i="4"/>
  <c r="BU291" i="4"/>
  <c r="BU299" i="4"/>
  <c r="BU323" i="4"/>
  <c r="BU292" i="4"/>
  <c r="BU324" i="4"/>
  <c r="BU317" i="4"/>
  <c r="BU333" i="4"/>
  <c r="BV136" i="4"/>
  <c r="BV137" i="4"/>
  <c r="BV145" i="4"/>
  <c r="BV153" i="4"/>
  <c r="BV161" i="4"/>
  <c r="BV169" i="4"/>
  <c r="BV177" i="4"/>
  <c r="BV185" i="4"/>
  <c r="BV193" i="4"/>
  <c r="BV201" i="4"/>
  <c r="BV209" i="4"/>
  <c r="BV217" i="4"/>
  <c r="BV225" i="4"/>
  <c r="BV233" i="4"/>
  <c r="BV241" i="4"/>
  <c r="BV249" i="4"/>
  <c r="BV257" i="4"/>
  <c r="BV265" i="4"/>
  <c r="BV273" i="4"/>
  <c r="BV281" i="4"/>
  <c r="BV147" i="4"/>
  <c r="BV171" i="4"/>
  <c r="BV187" i="4"/>
  <c r="BV203" i="4"/>
  <c r="BV219" i="4"/>
  <c r="BV235" i="4"/>
  <c r="BV259" i="4"/>
  <c r="BV275" i="4"/>
  <c r="BV140" i="4"/>
  <c r="BV172" i="4"/>
  <c r="BV188" i="4"/>
  <c r="BV212" i="4"/>
  <c r="BV228" i="4"/>
  <c r="BV252" i="4"/>
  <c r="BV276" i="4"/>
  <c r="BV165" i="4"/>
  <c r="BV173" i="4"/>
  <c r="BV205" i="4"/>
  <c r="BV237" i="4"/>
  <c r="BV277" i="4"/>
  <c r="BV166" i="4"/>
  <c r="BV198" i="4"/>
  <c r="BV230" i="4"/>
  <c r="BV238" i="4"/>
  <c r="BV270" i="4"/>
  <c r="BV175" i="4"/>
  <c r="BV191" i="4"/>
  <c r="BV215" i="4"/>
  <c r="BV247" i="4"/>
  <c r="BV271" i="4"/>
  <c r="BV138" i="4"/>
  <c r="BV146" i="4"/>
  <c r="BV154" i="4"/>
  <c r="BV162" i="4"/>
  <c r="BV170" i="4"/>
  <c r="BV178" i="4"/>
  <c r="BV186" i="4"/>
  <c r="BV194" i="4"/>
  <c r="BV202" i="4"/>
  <c r="BV210" i="4"/>
  <c r="BV218" i="4"/>
  <c r="BV226" i="4"/>
  <c r="BV234" i="4"/>
  <c r="BV242" i="4"/>
  <c r="BV250" i="4"/>
  <c r="BV258" i="4"/>
  <c r="BV266" i="4"/>
  <c r="BV274" i="4"/>
  <c r="BV282" i="4"/>
  <c r="BV155" i="4"/>
  <c r="BV163" i="4"/>
  <c r="BV179" i="4"/>
  <c r="BV195" i="4"/>
  <c r="BV211" i="4"/>
  <c r="BV227" i="4"/>
  <c r="BV243" i="4"/>
  <c r="BV267" i="4"/>
  <c r="BV283" i="4"/>
  <c r="BV148" i="4"/>
  <c r="BV180" i="4"/>
  <c r="BV196" i="4"/>
  <c r="BV244" i="4"/>
  <c r="BV268" i="4"/>
  <c r="BV157" i="4"/>
  <c r="BV197" i="4"/>
  <c r="BV229" i="4"/>
  <c r="BV261" i="4"/>
  <c r="BV174" i="4"/>
  <c r="BV206" i="4"/>
  <c r="BV246" i="4"/>
  <c r="BV278" i="4"/>
  <c r="BV151" i="4"/>
  <c r="BV183" i="4"/>
  <c r="BV223" i="4"/>
  <c r="BV255" i="4"/>
  <c r="BV139" i="4"/>
  <c r="BV251" i="4"/>
  <c r="BV164" i="4"/>
  <c r="BV204" i="4"/>
  <c r="BV220" i="4"/>
  <c r="BV236" i="4"/>
  <c r="BV260" i="4"/>
  <c r="BV149" i="4"/>
  <c r="BV181" i="4"/>
  <c r="BV213" i="4"/>
  <c r="BV253" i="4"/>
  <c r="BV285" i="4"/>
  <c r="BV150" i="4"/>
  <c r="BV182" i="4"/>
  <c r="BV214" i="4"/>
  <c r="BV262" i="4"/>
  <c r="BV167" i="4"/>
  <c r="BV199" i="4"/>
  <c r="BV231" i="4"/>
  <c r="BV263" i="4"/>
  <c r="BV156" i="4"/>
  <c r="BV142" i="4"/>
  <c r="BV143" i="4"/>
  <c r="BV144" i="4"/>
  <c r="BV152" i="4"/>
  <c r="BV160" i="4"/>
  <c r="BV168" i="4"/>
  <c r="BV176" i="4"/>
  <c r="BV184" i="4"/>
  <c r="BV192" i="4"/>
  <c r="BV200" i="4"/>
  <c r="BV208" i="4"/>
  <c r="BV216" i="4"/>
  <c r="BV224" i="4"/>
  <c r="BV232" i="4"/>
  <c r="BV240" i="4"/>
  <c r="BV248" i="4"/>
  <c r="BV256" i="4"/>
  <c r="BV264" i="4"/>
  <c r="BV272" i="4"/>
  <c r="BV280" i="4"/>
  <c r="BV284" i="4"/>
  <c r="BV141" i="4"/>
  <c r="BV189" i="4"/>
  <c r="BV221" i="4"/>
  <c r="BV245" i="4"/>
  <c r="BV269" i="4"/>
  <c r="BV158" i="4"/>
  <c r="BV190" i="4"/>
  <c r="BV222" i="4"/>
  <c r="BV254" i="4"/>
  <c r="BV159" i="4"/>
  <c r="BV207" i="4"/>
  <c r="BV239" i="4"/>
  <c r="BV279" i="4"/>
  <c r="BU137" i="4"/>
  <c r="BU145" i="4"/>
  <c r="BU153" i="4"/>
  <c r="BU161" i="4"/>
  <c r="BU169" i="4"/>
  <c r="BU177" i="4"/>
  <c r="BU185" i="4"/>
  <c r="BU193" i="4"/>
  <c r="BU201" i="4"/>
  <c r="BU209" i="4"/>
  <c r="BU217" i="4"/>
  <c r="BU225" i="4"/>
  <c r="BU233" i="4"/>
  <c r="BU241" i="4"/>
  <c r="BU249" i="4"/>
  <c r="BU257" i="4"/>
  <c r="BU265" i="4"/>
  <c r="BU273" i="4"/>
  <c r="BU281" i="4"/>
  <c r="BU186" i="4"/>
  <c r="BU218" i="4"/>
  <c r="BU242" i="4"/>
  <c r="BU282" i="4"/>
  <c r="BU172" i="4"/>
  <c r="BU173" i="4"/>
  <c r="BU237" i="4"/>
  <c r="BU277" i="4"/>
  <c r="BU142" i="4"/>
  <c r="BU174" i="4"/>
  <c r="BU190" i="4"/>
  <c r="BU222" i="4"/>
  <c r="BU246" i="4"/>
  <c r="BU278" i="4"/>
  <c r="BU167" i="4"/>
  <c r="BU183" i="4"/>
  <c r="BU215" i="4"/>
  <c r="BU247" i="4"/>
  <c r="BU271" i="4"/>
  <c r="BU138" i="4"/>
  <c r="BU146" i="4"/>
  <c r="BU154" i="4"/>
  <c r="BU162" i="4"/>
  <c r="BU170" i="4"/>
  <c r="BU178" i="4"/>
  <c r="BU194" i="4"/>
  <c r="BU202" i="4"/>
  <c r="BU210" i="4"/>
  <c r="BU226" i="4"/>
  <c r="BU234" i="4"/>
  <c r="BU250" i="4"/>
  <c r="BU258" i="4"/>
  <c r="BU266" i="4"/>
  <c r="BU274" i="4"/>
  <c r="BU148" i="4"/>
  <c r="BU149" i="4"/>
  <c r="BU213" i="4"/>
  <c r="BU229" i="4"/>
  <c r="BU245" i="4"/>
  <c r="BU261" i="4"/>
  <c r="BU150" i="4"/>
  <c r="BU166" i="4"/>
  <c r="BU182" i="4"/>
  <c r="BU206" i="4"/>
  <c r="BU238" i="4"/>
  <c r="BU262" i="4"/>
  <c r="BU159" i="4"/>
  <c r="BU191" i="4"/>
  <c r="BU223" i="4"/>
  <c r="BU255" i="4"/>
  <c r="BU139" i="4"/>
  <c r="BU147" i="4"/>
  <c r="BU155" i="4"/>
  <c r="BU163" i="4"/>
  <c r="BU171" i="4"/>
  <c r="BU179" i="4"/>
  <c r="BU187" i="4"/>
  <c r="BU195" i="4"/>
  <c r="BU203" i="4"/>
  <c r="BU211" i="4"/>
  <c r="BU219" i="4"/>
  <c r="BU227" i="4"/>
  <c r="BU235" i="4"/>
  <c r="BU243" i="4"/>
  <c r="BU251" i="4"/>
  <c r="BU259" i="4"/>
  <c r="BU267" i="4"/>
  <c r="BU275" i="4"/>
  <c r="BU283" i="4"/>
  <c r="BU140" i="4"/>
  <c r="BU156" i="4"/>
  <c r="BU164" i="4"/>
  <c r="BU180" i="4"/>
  <c r="BU188" i="4"/>
  <c r="BU196" i="4"/>
  <c r="BU204" i="4"/>
  <c r="BU212" i="4"/>
  <c r="BU220" i="4"/>
  <c r="BU228" i="4"/>
  <c r="BU236" i="4"/>
  <c r="BU244" i="4"/>
  <c r="BU252" i="4"/>
  <c r="BU260" i="4"/>
  <c r="BU268" i="4"/>
  <c r="BU276" i="4"/>
  <c r="BU284" i="4"/>
  <c r="BU141" i="4"/>
  <c r="BU157" i="4"/>
  <c r="BU165" i="4"/>
  <c r="BU181" i="4"/>
  <c r="BU189" i="4"/>
  <c r="BU197" i="4"/>
  <c r="BU205" i="4"/>
  <c r="BU221" i="4"/>
  <c r="BU253" i="4"/>
  <c r="BU269" i="4"/>
  <c r="BU285" i="4"/>
  <c r="BU158" i="4"/>
  <c r="BU198" i="4"/>
  <c r="BU214" i="4"/>
  <c r="BU230" i="4"/>
  <c r="BU254" i="4"/>
  <c r="BU270" i="4"/>
  <c r="BU151" i="4"/>
  <c r="BU199" i="4"/>
  <c r="BU231" i="4"/>
  <c r="BU263" i="4"/>
  <c r="BU144" i="4"/>
  <c r="BU152" i="4"/>
  <c r="BU160" i="4"/>
  <c r="BU168" i="4"/>
  <c r="BU176" i="4"/>
  <c r="BU184" i="4"/>
  <c r="BU192" i="4"/>
  <c r="BU200" i="4"/>
  <c r="BU208" i="4"/>
  <c r="BU216" i="4"/>
  <c r="BU224" i="4"/>
  <c r="BU232" i="4"/>
  <c r="BU240" i="4"/>
  <c r="BU248" i="4"/>
  <c r="BU256" i="4"/>
  <c r="BU264" i="4"/>
  <c r="BU272" i="4"/>
  <c r="BU280" i="4"/>
  <c r="BU143" i="4"/>
  <c r="BU175" i="4"/>
  <c r="BU207" i="4"/>
  <c r="BU239" i="4"/>
  <c r="BU279" i="4"/>
  <c r="BF11" i="4"/>
  <c r="BD3" i="4" a="1"/>
  <c r="BC3" i="4" a="1"/>
  <c r="BC10" i="4" s="1"/>
  <c r="BB6" i="4"/>
  <c r="BB7" i="4"/>
  <c r="BB8" i="4"/>
  <c r="BB3" i="4"/>
  <c r="BB9" i="4"/>
  <c r="BB11" i="4"/>
  <c r="BB10" i="4"/>
  <c r="BB12" i="4"/>
  <c r="BB4" i="4"/>
  <c r="BB5" i="4"/>
  <c r="BB13" i="4"/>
  <c r="BB18" i="4" l="1" a="1"/>
  <c r="BB18" i="4" s="1"/>
  <c r="BJ7" i="4" s="1"/>
  <c r="BC6" i="4"/>
  <c r="BC7" i="4"/>
  <c r="BC5" i="4"/>
  <c r="BC3" i="4"/>
  <c r="BC13" i="4"/>
  <c r="BC8" i="4"/>
  <c r="BC11" i="4"/>
  <c r="BB16" i="4" a="1"/>
  <c r="BB16" i="4" s="1"/>
  <c r="BB15" i="4"/>
  <c r="BC9" i="4"/>
  <c r="BC4" i="4"/>
  <c r="BC12" i="4"/>
  <c r="BD12" i="4"/>
  <c r="BD5" i="4"/>
  <c r="BD3" i="4"/>
  <c r="BD6" i="4"/>
  <c r="BD11" i="4"/>
  <c r="BD7" i="4"/>
  <c r="BD13" i="4"/>
  <c r="BD9" i="4"/>
  <c r="BD8" i="4"/>
  <c r="BD4" i="4"/>
  <c r="BD10" i="4"/>
  <c r="BD16" i="4" l="1" a="1"/>
  <c r="BD16" i="4" s="1"/>
  <c r="BD15" i="4"/>
  <c r="BF24" i="4"/>
  <c r="BD25" i="4" a="1"/>
  <c r="BD25" i="4" s="1"/>
  <c r="BD29" i="4" a="1"/>
  <c r="BD29" i="4" s="1"/>
  <c r="BD33" i="4" a="1"/>
  <c r="BD33" i="4" s="1"/>
  <c r="BD37" i="4" a="1"/>
  <c r="BD37" i="4" s="1"/>
  <c r="BD41" i="4" a="1"/>
  <c r="BD41" i="4" s="1"/>
  <c r="BD45" i="4" a="1"/>
  <c r="BD45" i="4" s="1"/>
  <c r="BD49" i="4" a="1"/>
  <c r="BD49" i="4" s="1"/>
  <c r="BD53" i="4" a="1"/>
  <c r="BD53" i="4" s="1"/>
  <c r="BD57" i="4" a="1"/>
  <c r="BD57" i="4" s="1"/>
  <c r="BD61" i="4" a="1"/>
  <c r="BD61" i="4" s="1"/>
  <c r="BD65" i="4" a="1"/>
  <c r="BD65" i="4" s="1"/>
  <c r="BD69" i="4" a="1"/>
  <c r="BD69" i="4" s="1"/>
  <c r="BD73" i="4" a="1"/>
  <c r="BD73" i="4" s="1"/>
  <c r="BD77" i="4" a="1"/>
  <c r="BD77" i="4" s="1"/>
  <c r="BD81" i="4" a="1"/>
  <c r="BD81" i="4" s="1"/>
  <c r="BD85" i="4" a="1"/>
  <c r="BD85" i="4" s="1"/>
  <c r="BD89" i="4" a="1"/>
  <c r="BD89" i="4" s="1"/>
  <c r="BD93" i="4" a="1"/>
  <c r="BD93" i="4" s="1"/>
  <c r="BD97" i="4" a="1"/>
  <c r="BD97" i="4" s="1"/>
  <c r="BD101" i="4" a="1"/>
  <c r="BD101" i="4" s="1"/>
  <c r="BD105" i="4" a="1"/>
  <c r="BD105" i="4" s="1"/>
  <c r="BD109" i="4" a="1"/>
  <c r="BD109" i="4" s="1"/>
  <c r="BD113" i="4" a="1"/>
  <c r="BD113" i="4" s="1"/>
  <c r="BD117" i="4" a="1"/>
  <c r="BD117" i="4" s="1"/>
  <c r="BD121" i="4" a="1"/>
  <c r="BD121" i="4" s="1"/>
  <c r="BD125" i="4" a="1"/>
  <c r="BD125" i="4" s="1"/>
  <c r="BD129" i="4" a="1"/>
  <c r="BD129" i="4" s="1"/>
  <c r="BD133" i="4" a="1"/>
  <c r="BD133" i="4" s="1"/>
  <c r="BD137" i="4" a="1"/>
  <c r="BD137" i="4" s="1"/>
  <c r="BD141" i="4" a="1"/>
  <c r="BD141" i="4" s="1"/>
  <c r="BD145" i="4" a="1"/>
  <c r="BD145" i="4" s="1"/>
  <c r="BD149" i="4" a="1"/>
  <c r="BD149" i="4" s="1"/>
  <c r="BD102" i="4" a="1"/>
  <c r="BD102" i="4" s="1"/>
  <c r="BD134" i="4" a="1"/>
  <c r="BD134" i="4" s="1"/>
  <c r="BD142" i="4" a="1"/>
  <c r="BD142" i="4" s="1"/>
  <c r="BD150" i="4" a="1"/>
  <c r="BD150" i="4" s="1"/>
  <c r="BD26" i="4" a="1"/>
  <c r="BD26" i="4" s="1"/>
  <c r="BD30" i="4" a="1"/>
  <c r="BD30" i="4" s="1"/>
  <c r="BD34" i="4" a="1"/>
  <c r="BD34" i="4" s="1"/>
  <c r="BD38" i="4" a="1"/>
  <c r="BD38" i="4" s="1"/>
  <c r="BD42" i="4" a="1"/>
  <c r="BD42" i="4" s="1"/>
  <c r="BD46" i="4" a="1"/>
  <c r="BD46" i="4" s="1"/>
  <c r="BD50" i="4" a="1"/>
  <c r="BD50" i="4" s="1"/>
  <c r="BD54" i="4" a="1"/>
  <c r="BD54" i="4" s="1"/>
  <c r="BD58" i="4" a="1"/>
  <c r="BD58" i="4" s="1"/>
  <c r="BD62" i="4" a="1"/>
  <c r="BD62" i="4" s="1"/>
  <c r="BD66" i="4" a="1"/>
  <c r="BD66" i="4" s="1"/>
  <c r="BD70" i="4" a="1"/>
  <c r="BD70" i="4" s="1"/>
  <c r="BD74" i="4" a="1"/>
  <c r="BD74" i="4" s="1"/>
  <c r="BD78" i="4" a="1"/>
  <c r="BD78" i="4" s="1"/>
  <c r="BD82" i="4" a="1"/>
  <c r="BD82" i="4" s="1"/>
  <c r="BD86" i="4" a="1"/>
  <c r="BD86" i="4" s="1"/>
  <c r="BD90" i="4" a="1"/>
  <c r="BD90" i="4" s="1"/>
  <c r="BD94" i="4" a="1"/>
  <c r="BD94" i="4" s="1"/>
  <c r="BD98" i="4" a="1"/>
  <c r="BD98" i="4" s="1"/>
  <c r="BD106" i="4" a="1"/>
  <c r="BD106" i="4" s="1"/>
  <c r="BD110" i="4" a="1"/>
  <c r="BD110" i="4" s="1"/>
  <c r="BD114" i="4" a="1"/>
  <c r="BD114" i="4" s="1"/>
  <c r="BD118" i="4" a="1"/>
  <c r="BD118" i="4" s="1"/>
  <c r="BD122" i="4" a="1"/>
  <c r="BD122" i="4" s="1"/>
  <c r="BD126" i="4" a="1"/>
  <c r="BD126" i="4" s="1"/>
  <c r="BD130" i="4" a="1"/>
  <c r="BD130" i="4" s="1"/>
  <c r="BD138" i="4" a="1"/>
  <c r="BD138" i="4" s="1"/>
  <c r="BD146" i="4" a="1"/>
  <c r="BD146" i="4" s="1"/>
  <c r="BD27" i="4" a="1"/>
  <c r="BD27" i="4" s="1"/>
  <c r="BD28" i="4" a="1"/>
  <c r="BD28" i="4" s="1"/>
  <c r="BD51" i="4" a="1"/>
  <c r="BD51" i="4" s="1"/>
  <c r="BD60" i="4" a="1"/>
  <c r="BD60" i="4" s="1"/>
  <c r="BD83" i="4" a="1"/>
  <c r="BD83" i="4" s="1"/>
  <c r="BD92" i="4" a="1"/>
  <c r="BD92" i="4" s="1"/>
  <c r="BD115" i="4" a="1"/>
  <c r="BD115" i="4" s="1"/>
  <c r="BD124" i="4" a="1"/>
  <c r="BD124" i="4" s="1"/>
  <c r="BD147" i="4" a="1"/>
  <c r="BD147" i="4" s="1"/>
  <c r="BD32" i="4" a="1"/>
  <c r="BD32" i="4" s="1"/>
  <c r="BD87" i="4" a="1"/>
  <c r="BD87" i="4" s="1"/>
  <c r="BD151" i="4" a="1"/>
  <c r="BD151" i="4" s="1"/>
  <c r="BD44" i="4" a="1"/>
  <c r="BD44" i="4" s="1"/>
  <c r="BD99" i="4" a="1"/>
  <c r="BD99" i="4" s="1"/>
  <c r="BD140" i="4" a="1"/>
  <c r="BD140" i="4" s="1"/>
  <c r="BD56" i="4" a="1"/>
  <c r="BD56" i="4" s="1"/>
  <c r="BD91" i="4" a="1"/>
  <c r="BD91" i="4" s="1"/>
  <c r="BD132" i="4" a="1"/>
  <c r="BD132" i="4" s="1"/>
  <c r="BD31" i="4" a="1"/>
  <c r="BD31" i="4" s="1"/>
  <c r="BD40" i="4" a="1"/>
  <c r="BD40" i="4" s="1"/>
  <c r="BD63" i="4" a="1"/>
  <c r="BD63" i="4" s="1"/>
  <c r="BD72" i="4" a="1"/>
  <c r="BD72" i="4" s="1"/>
  <c r="BD95" i="4" a="1"/>
  <c r="BD95" i="4" s="1"/>
  <c r="BD104" i="4" a="1"/>
  <c r="BD104" i="4" s="1"/>
  <c r="BD127" i="4" a="1"/>
  <c r="BD127" i="4" s="1"/>
  <c r="BD136" i="4" a="1"/>
  <c r="BD136" i="4" s="1"/>
  <c r="BD64" i="4" a="1"/>
  <c r="BD64" i="4" s="1"/>
  <c r="BD96" i="4" a="1"/>
  <c r="BD96" i="4" s="1"/>
  <c r="BD128" i="4" a="1"/>
  <c r="BD128" i="4" s="1"/>
  <c r="BD67" i="4" a="1"/>
  <c r="BD67" i="4" s="1"/>
  <c r="BD47" i="4" a="1"/>
  <c r="BD47" i="4" s="1"/>
  <c r="BD88" i="4" a="1"/>
  <c r="BD88" i="4" s="1"/>
  <c r="BD143" i="4" a="1"/>
  <c r="BD143" i="4" s="1"/>
  <c r="BD59" i="4" a="1"/>
  <c r="BD59" i="4" s="1"/>
  <c r="BD43" i="4" a="1"/>
  <c r="BD43" i="4" s="1"/>
  <c r="BD52" i="4" a="1"/>
  <c r="BD52" i="4" s="1"/>
  <c r="BD75" i="4" a="1"/>
  <c r="BD75" i="4" s="1"/>
  <c r="BD84" i="4" a="1"/>
  <c r="BD84" i="4" s="1"/>
  <c r="BD107" i="4" a="1"/>
  <c r="BD107" i="4" s="1"/>
  <c r="BD116" i="4" a="1"/>
  <c r="BD116" i="4" s="1"/>
  <c r="BD139" i="4" a="1"/>
  <c r="BD139" i="4" s="1"/>
  <c r="BD148" i="4" a="1"/>
  <c r="BD148" i="4" s="1"/>
  <c r="BD55" i="4" a="1"/>
  <c r="BD55" i="4" s="1"/>
  <c r="BD119" i="4" a="1"/>
  <c r="BD119" i="4" s="1"/>
  <c r="BD76" i="4" a="1"/>
  <c r="BD76" i="4" s="1"/>
  <c r="BD108" i="4" a="1"/>
  <c r="BD108" i="4" s="1"/>
  <c r="BD120" i="4" a="1"/>
  <c r="BD120" i="4" s="1"/>
  <c r="BD36" i="4" a="1"/>
  <c r="BD36" i="4" s="1"/>
  <c r="BD100" i="4" a="1"/>
  <c r="BD100" i="4" s="1"/>
  <c r="BD39" i="4" a="1"/>
  <c r="BD39" i="4" s="1"/>
  <c r="BD48" i="4" a="1"/>
  <c r="BD48" i="4" s="1"/>
  <c r="BD71" i="4" a="1"/>
  <c r="BD71" i="4" s="1"/>
  <c r="BD80" i="4" a="1"/>
  <c r="BD80" i="4" s="1"/>
  <c r="BD103" i="4" a="1"/>
  <c r="BD103" i="4" s="1"/>
  <c r="BD112" i="4" a="1"/>
  <c r="BD112" i="4" s="1"/>
  <c r="BD135" i="4" a="1"/>
  <c r="BD135" i="4" s="1"/>
  <c r="BD144" i="4" a="1"/>
  <c r="BD144" i="4" s="1"/>
  <c r="BD35" i="4" a="1"/>
  <c r="BD35" i="4" s="1"/>
  <c r="BD131" i="4" a="1"/>
  <c r="BD131" i="4" s="1"/>
  <c r="BD79" i="4" a="1"/>
  <c r="BD79" i="4" s="1"/>
  <c r="BD111" i="4" a="1"/>
  <c r="BD111" i="4" s="1"/>
  <c r="BD68" i="4" a="1"/>
  <c r="BD68" i="4" s="1"/>
  <c r="BD123" i="4" a="1"/>
  <c r="BD123" i="4" s="1"/>
  <c r="BB17" i="4"/>
  <c r="BD24" i="4" a="1"/>
  <c r="BD24" i="4" s="1"/>
  <c r="BF25" i="4"/>
  <c r="BF33" i="4"/>
  <c r="BF41" i="4"/>
  <c r="BF49" i="4"/>
  <c r="BF57" i="4"/>
  <c r="BF65" i="4"/>
  <c r="BF73" i="4"/>
  <c r="BF81" i="4"/>
  <c r="BF89" i="4"/>
  <c r="BF97" i="4"/>
  <c r="BF105" i="4"/>
  <c r="BF113" i="4"/>
  <c r="BF121" i="4"/>
  <c r="BF129" i="4"/>
  <c r="BF137" i="4"/>
  <c r="BF145" i="4"/>
  <c r="BF123" i="4"/>
  <c r="BF28" i="4"/>
  <c r="BF68" i="4"/>
  <c r="BF124" i="4"/>
  <c r="BF45" i="4"/>
  <c r="BF69" i="4"/>
  <c r="BF85" i="4"/>
  <c r="BF109" i="4"/>
  <c r="BF125" i="4"/>
  <c r="BF141" i="4"/>
  <c r="BF30" i="4"/>
  <c r="BF70" i="4"/>
  <c r="BF94" i="4"/>
  <c r="BF126" i="4"/>
  <c r="BF55" i="4"/>
  <c r="BF79" i="4"/>
  <c r="BF103" i="4"/>
  <c r="BF135" i="4"/>
  <c r="BF26" i="4"/>
  <c r="BF34" i="4"/>
  <c r="BF42" i="4"/>
  <c r="BF50" i="4"/>
  <c r="BF58" i="4"/>
  <c r="BF66" i="4"/>
  <c r="BF74" i="4"/>
  <c r="BF82" i="4"/>
  <c r="BF90" i="4"/>
  <c r="BF98" i="4"/>
  <c r="BF106" i="4"/>
  <c r="BF114" i="4"/>
  <c r="BF122" i="4"/>
  <c r="BF130" i="4"/>
  <c r="BF138" i="4"/>
  <c r="BF146" i="4"/>
  <c r="BF139" i="4"/>
  <c r="BF44" i="4"/>
  <c r="BF52" i="4"/>
  <c r="BF60" i="4"/>
  <c r="BF84" i="4"/>
  <c r="BF140" i="4"/>
  <c r="BF37" i="4"/>
  <c r="BF61" i="4"/>
  <c r="BF101" i="4"/>
  <c r="BF133" i="4"/>
  <c r="BF38" i="4"/>
  <c r="BF54" i="4"/>
  <c r="BF78" i="4"/>
  <c r="BF110" i="4"/>
  <c r="BF142" i="4"/>
  <c r="BF31" i="4"/>
  <c r="BF63" i="4"/>
  <c r="BF119" i="4"/>
  <c r="BF27" i="4"/>
  <c r="BF35" i="4"/>
  <c r="BF43" i="4"/>
  <c r="BF51" i="4"/>
  <c r="BF59" i="4"/>
  <c r="BF67" i="4"/>
  <c r="BF75" i="4"/>
  <c r="BF83" i="4"/>
  <c r="BF91" i="4"/>
  <c r="BF99" i="4"/>
  <c r="BF107" i="4"/>
  <c r="BF115" i="4"/>
  <c r="BF131" i="4"/>
  <c r="BF147" i="4"/>
  <c r="BF36" i="4"/>
  <c r="BF76" i="4"/>
  <c r="BF92" i="4"/>
  <c r="BF100" i="4"/>
  <c r="BF108" i="4"/>
  <c r="BF116" i="4"/>
  <c r="BF132" i="4"/>
  <c r="BF148" i="4"/>
  <c r="BF29" i="4"/>
  <c r="BF53" i="4"/>
  <c r="BF77" i="4"/>
  <c r="BF93" i="4"/>
  <c r="BF117" i="4"/>
  <c r="BF149" i="4"/>
  <c r="BF46" i="4"/>
  <c r="BF62" i="4"/>
  <c r="BF86" i="4"/>
  <c r="BF118" i="4"/>
  <c r="BF134" i="4"/>
  <c r="BF39" i="4"/>
  <c r="BF71" i="4"/>
  <c r="BF95" i="4"/>
  <c r="BF127" i="4"/>
  <c r="BF143" i="4"/>
  <c r="BF32" i="4"/>
  <c r="BF40" i="4"/>
  <c r="BF48" i="4"/>
  <c r="BF56" i="4"/>
  <c r="BF64" i="4"/>
  <c r="BF72" i="4"/>
  <c r="BF80" i="4"/>
  <c r="BF88" i="4"/>
  <c r="BF96" i="4"/>
  <c r="BF104" i="4"/>
  <c r="BF112" i="4"/>
  <c r="BF120" i="4"/>
  <c r="BF128" i="4"/>
  <c r="BF136" i="4"/>
  <c r="BF144" i="4"/>
  <c r="BF102" i="4"/>
  <c r="BF150" i="4"/>
  <c r="BF47" i="4"/>
  <c r="BF87" i="4"/>
  <c r="BF111" i="4"/>
  <c r="BF151" i="4"/>
  <c r="BC16" i="4" a="1"/>
  <c r="BC16" i="4" s="1"/>
  <c r="BD18" i="4" a="1"/>
  <c r="BD18" i="4" s="1"/>
  <c r="BC15" i="4"/>
  <c r="BC18" i="4" a="1"/>
  <c r="BC18" i="4" s="1"/>
  <c r="BK7" i="4" s="1"/>
  <c r="BD17" i="4"/>
  <c r="BB19" i="4" l="1"/>
  <c r="BJ6" i="4"/>
  <c r="BE49" i="4"/>
  <c r="BE53" i="4"/>
  <c r="BE69" i="4"/>
  <c r="BE77" i="4"/>
  <c r="BE81" i="4"/>
  <c r="BE85" i="4"/>
  <c r="BE97" i="4"/>
  <c r="BE101" i="4"/>
  <c r="BE105" i="4"/>
  <c r="BE109" i="4"/>
  <c r="BE113" i="4"/>
  <c r="BE117" i="4"/>
  <c r="BE133" i="4"/>
  <c r="BE137" i="4"/>
  <c r="BE145" i="4"/>
  <c r="BE149" i="4"/>
  <c r="BE30" i="4"/>
  <c r="BE34" i="4"/>
  <c r="BE38" i="4"/>
  <c r="BE54" i="4"/>
  <c r="BE58" i="4"/>
  <c r="BE62" i="4"/>
  <c r="BE66" i="4"/>
  <c r="BE70" i="4"/>
  <c r="BE82" i="4"/>
  <c r="BE90" i="4"/>
  <c r="BE94" i="4"/>
  <c r="BE98" i="4"/>
  <c r="BE102" i="4"/>
  <c r="BE106" i="4"/>
  <c r="BE122" i="4"/>
  <c r="BE126" i="4"/>
  <c r="BE130" i="4"/>
  <c r="BE138" i="4"/>
  <c r="BE142" i="4"/>
  <c r="BE150" i="4"/>
  <c r="BE26" i="4"/>
  <c r="BE146" i="4"/>
  <c r="BE28" i="4"/>
  <c r="BE32" i="4"/>
  <c r="BE36" i="4"/>
  <c r="BE40" i="4"/>
  <c r="BE52" i="4"/>
  <c r="BE56" i="4"/>
  <c r="BE60" i="4"/>
  <c r="BE64" i="4"/>
  <c r="BE68" i="4"/>
  <c r="BE72" i="4"/>
  <c r="BE76" i="4"/>
  <c r="BE84" i="4"/>
  <c r="BE88" i="4"/>
  <c r="BE92" i="4"/>
  <c r="BE96" i="4"/>
  <c r="BE100" i="4"/>
  <c r="BE104" i="4"/>
  <c r="BE112" i="4"/>
  <c r="BE120" i="4"/>
  <c r="BE124" i="4"/>
  <c r="BE128" i="4"/>
  <c r="BE132" i="4"/>
  <c r="BE136" i="4"/>
  <c r="BE27" i="4"/>
  <c r="BE47" i="4"/>
  <c r="BE55" i="4"/>
  <c r="BE63" i="4"/>
  <c r="BE71" i="4"/>
  <c r="BE103" i="4"/>
  <c r="BE111" i="4"/>
  <c r="BE119" i="4"/>
  <c r="BE127" i="4"/>
  <c r="BE135" i="4"/>
  <c r="BE67" i="4"/>
  <c r="BE91" i="4"/>
  <c r="BE107" i="4"/>
  <c r="BE131" i="4"/>
  <c r="BE43" i="4"/>
  <c r="BE31" i="4"/>
  <c r="BE75" i="4"/>
  <c r="BE115" i="4"/>
  <c r="BE147" i="4"/>
  <c r="BE39" i="4"/>
  <c r="BE59" i="4"/>
  <c r="BE83" i="4"/>
  <c r="BE99" i="4"/>
  <c r="BE123" i="4"/>
  <c r="BE139" i="4"/>
  <c r="BE35" i="4"/>
  <c r="BE24" i="4"/>
  <c r="BF226" i="4" a="1"/>
  <c r="BF226" i="4" s="1"/>
  <c r="BE42" i="4"/>
  <c r="BE46" i="4"/>
  <c r="BE50" i="4"/>
  <c r="BE74" i="4"/>
  <c r="BE78" i="4"/>
  <c r="BE86" i="4"/>
  <c r="BE110" i="4"/>
  <c r="BE114" i="4"/>
  <c r="BE118" i="4"/>
  <c r="BE134" i="4"/>
  <c r="BE151" i="4"/>
  <c r="BE48" i="4"/>
  <c r="BE116" i="4"/>
  <c r="BE148" i="4"/>
  <c r="BE143" i="4"/>
  <c r="BE108" i="4"/>
  <c r="BE144" i="4"/>
  <c r="BE51" i="4"/>
  <c r="BE79" i="4"/>
  <c r="BE87" i="4"/>
  <c r="BE95" i="4"/>
  <c r="BE44" i="4"/>
  <c r="BE80" i="4"/>
  <c r="BE140" i="4"/>
  <c r="BE29" i="4"/>
  <c r="BE61" i="4"/>
  <c r="BE89" i="4"/>
  <c r="BE129" i="4"/>
  <c r="BE65" i="4"/>
  <c r="BE73" i="4"/>
  <c r="BE45" i="4"/>
  <c r="BE141" i="4"/>
  <c r="BE33" i="4"/>
  <c r="BE93" i="4"/>
  <c r="BE125" i="4"/>
  <c r="BE37" i="4"/>
  <c r="BE41" i="4"/>
  <c r="BE121" i="4"/>
  <c r="BE57" i="4"/>
  <c r="BE25" i="4"/>
  <c r="BD19" i="4"/>
  <c r="BC17" i="4"/>
  <c r="BK6" i="4" s="1"/>
  <c r="BC19" i="4" l="1"/>
  <c r="BE226" i="4" a="1"/>
  <c r="BE2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<sst xmlns="http://schemas.openxmlformats.org/spreadsheetml/2006/main" count="471" uniqueCount="189">
  <si>
    <t>Ticker</t>
  </si>
  <si>
    <t>Average Monthly Return</t>
  </si>
  <si>
    <t>Monthly Standard Deviation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</si>
  <si>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</si>
  <si>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</si>
  <si>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</si>
  <si>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</si>
  <si>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</si>
  <si>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</si>
  <si>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</si>
  <si>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</si>
  <si>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</si>
  <si>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</si>
  <si>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</si>
  <si>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Metric</t>
  </si>
  <si>
    <t>Value</t>
  </si>
  <si>
    <t>Expected Monthly Return</t>
  </si>
  <si>
    <t>Sharpe Ratio</t>
  </si>
  <si>
    <t>Date</t>
  </si>
  <si>
    <t>Portfolio Metrics</t>
  </si>
  <si>
    <t>Sector Statistics</t>
  </si>
  <si>
    <t>Sector ETF</t>
  </si>
  <si>
    <t>Weight</t>
  </si>
  <si>
    <t>RETURNS</t>
  </si>
  <si>
    <t>COVMAT</t>
  </si>
  <si>
    <t>GMVAMAT</t>
  </si>
  <si>
    <t>One Vec</t>
  </si>
  <si>
    <t>Zero Vec</t>
  </si>
  <si>
    <t>COVMAT2</t>
  </si>
  <si>
    <t>GMVBVec</t>
  </si>
  <si>
    <t>Original PORT</t>
  </si>
  <si>
    <t>GMVPort</t>
  </si>
  <si>
    <t>Total</t>
  </si>
  <si>
    <t>VAR</t>
  </si>
  <si>
    <t>STD Dev</t>
  </si>
  <si>
    <t>Expected return</t>
  </si>
  <si>
    <t>SR</t>
  </si>
  <si>
    <t>MUVEC</t>
  </si>
  <si>
    <t>Risk-free rate</t>
  </si>
  <si>
    <t>EPAMAT</t>
  </si>
  <si>
    <t>EPBVEC2</t>
  </si>
  <si>
    <t>EPBVEC1</t>
  </si>
  <si>
    <t>MUSTAR1</t>
  </si>
  <si>
    <t>MUSTAR2</t>
  </si>
  <si>
    <t>EPPORT1</t>
  </si>
  <si>
    <t>ORP</t>
  </si>
  <si>
    <t>Combined ORP &amp; RF</t>
  </si>
  <si>
    <t>ORP Weightage</t>
  </si>
  <si>
    <t>RF Weightage</t>
  </si>
  <si>
    <t>Microsoft Excel 16.90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</si>
  <si>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</si>
  <si>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</si>
  <si>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</si>
  <si>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</si>
  <si>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</si>
  <si>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</si>
  <si>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</si>
  <si>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</si>
  <si>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</si>
  <si>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</si>
  <si>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</si>
  <si>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</si>
  <si>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</si>
  <si>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</si>
  <si>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</si>
  <si>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</si>
  <si>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</si>
  <si>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</si>
  <si>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</si>
  <si>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SR ORP</t>
  </si>
  <si>
    <t>XLB ORP</t>
  </si>
  <si>
    <t>Contin</t>
  </si>
  <si>
    <t>XLE ORP</t>
  </si>
  <si>
    <t>XLF ORP</t>
  </si>
  <si>
    <t>XLI ORP</t>
  </si>
  <si>
    <t>XLK ORP</t>
  </si>
  <si>
    <t>XLRE ORP</t>
  </si>
  <si>
    <t>XLU ORP</t>
  </si>
  <si>
    <t>XLV ORP</t>
  </si>
  <si>
    <t>XLY ORP</t>
  </si>
  <si>
    <t>Total ORP</t>
  </si>
  <si>
    <t>Binding</t>
  </si>
  <si>
    <t>Not Binding</t>
  </si>
  <si>
    <t>XLC ORP</t>
  </si>
  <si>
    <t>XLP ORP</t>
  </si>
  <si>
    <t>ORP &lt;= 0.15</t>
  </si>
  <si>
    <t>ORP &gt;= 0</t>
  </si>
  <si>
    <t>ORP &lt;= 0.35</t>
  </si>
  <si>
    <t>ORP &gt;= -0.2</t>
  </si>
  <si>
    <t xml:space="preserve"> DE-MEANED RETURNS</t>
  </si>
  <si>
    <t>Alpha</t>
  </si>
  <si>
    <t>1-Alpha</t>
  </si>
  <si>
    <t>Exp Ret</t>
  </si>
  <si>
    <t>EPPORT2</t>
  </si>
  <si>
    <t>Var</t>
  </si>
  <si>
    <t>Std dev</t>
  </si>
  <si>
    <t>ORIGPORT</t>
  </si>
  <si>
    <t>RF</t>
  </si>
  <si>
    <t>$BE$19</t>
  </si>
  <si>
    <t>$BE$3</t>
  </si>
  <si>
    <t>$BE$4</t>
  </si>
  <si>
    <t>$BE$5</t>
  </si>
  <si>
    <t>$BE$6</t>
  </si>
  <si>
    <t>$BE$7</t>
  </si>
  <si>
    <t>$BE$8</t>
  </si>
  <si>
    <t>$BE$9</t>
  </si>
  <si>
    <t>$BE$10</t>
  </si>
  <si>
    <t>$BE$11</t>
  </si>
  <si>
    <t>$BE$12</t>
  </si>
  <si>
    <t>$BE$13</t>
  </si>
  <si>
    <t>$BE$15</t>
  </si>
  <si>
    <t>$BE$15=1</t>
  </si>
  <si>
    <t>$BE$3&lt;=0.35</t>
  </si>
  <si>
    <t>$BE$4&lt;=0.35</t>
  </si>
  <si>
    <t>$BE$5&lt;=0.35</t>
  </si>
  <si>
    <t>$BE$6&lt;=0.35</t>
  </si>
  <si>
    <t>$BE$7&lt;=0.35</t>
  </si>
  <si>
    <t>$BE$8&lt;=0.35</t>
  </si>
  <si>
    <t>$BE$9&lt;=0.35</t>
  </si>
  <si>
    <t>$BE$10&lt;=0.35</t>
  </si>
  <si>
    <t>$BE$11&lt;=0.35</t>
  </si>
  <si>
    <t>$BE$12&lt;=0.35</t>
  </si>
  <si>
    <t>$BE$13&lt;=0.35</t>
  </si>
  <si>
    <t>$BE$3&gt;=-0.2</t>
  </si>
  <si>
    <t>$BE$4&gt;=-0.2</t>
  </si>
  <si>
    <t>$BE$5&gt;=-0.2</t>
  </si>
  <si>
    <t>$BE$6&gt;=-0.2</t>
  </si>
  <si>
    <t>$BE$7&gt;=-0.2</t>
  </si>
  <si>
    <t>$BE$8&gt;=-0.2</t>
  </si>
  <si>
    <t>$BE$9&gt;=-0.2</t>
  </si>
  <si>
    <t>$BE$10&gt;=-0.2</t>
  </si>
  <si>
    <t>$BE$11&gt;=-0.2</t>
  </si>
  <si>
    <t>$BE$12&gt;=-0.2</t>
  </si>
  <si>
    <t>$BE$13&gt;=-0.2</t>
  </si>
  <si>
    <t>$BE$3&lt;=0.15</t>
  </si>
  <si>
    <t>$BE$4&lt;=0.15</t>
  </si>
  <si>
    <t>$BE$5&lt;=0.15</t>
  </si>
  <si>
    <t>$BE$6&lt;=0.15</t>
  </si>
  <si>
    <t>$BE$7&lt;=0.15</t>
  </si>
  <si>
    <t>$BE$8&lt;=0.15</t>
  </si>
  <si>
    <t>$BE$9&lt;=0.15</t>
  </si>
  <si>
    <t>$BE$10&lt;=0.15</t>
  </si>
  <si>
    <t>$BE$11&lt;=0.15</t>
  </si>
  <si>
    <t>$BE$12&lt;=0.15</t>
  </si>
  <si>
    <t>$BE$13&lt;=0.15</t>
  </si>
  <si>
    <t>$BE$3&gt;=0</t>
  </si>
  <si>
    <t>$BE$4&gt;=0</t>
  </si>
  <si>
    <t>$BE$5&gt;=0</t>
  </si>
  <si>
    <t>$BE$6&gt;=0</t>
  </si>
  <si>
    <t>$BE$7&gt;=0</t>
  </si>
  <si>
    <t>$BE$8&gt;=0</t>
  </si>
  <si>
    <t>$BE$9&gt;=0</t>
  </si>
  <si>
    <t>$BE$10&gt;=0</t>
  </si>
  <si>
    <t>$BE$11&gt;=0</t>
  </si>
  <si>
    <t>$BE$12&gt;=0</t>
  </si>
  <si>
    <t>$BE$13&gt;=0</t>
  </si>
  <si>
    <t>TASK 3</t>
  </si>
  <si>
    <t>wrf</t>
  </si>
  <si>
    <t>1-wrf</t>
  </si>
  <si>
    <t>std</t>
  </si>
  <si>
    <t>exp RET</t>
  </si>
  <si>
    <t>Task 1</t>
  </si>
  <si>
    <t>Portfolio Name</t>
  </si>
  <si>
    <t>TOTAL</t>
  </si>
  <si>
    <t>Expected Return</t>
  </si>
  <si>
    <t>Standard Deviation</t>
  </si>
  <si>
    <t>GMVPORT</t>
  </si>
  <si>
    <t>EFPORT</t>
  </si>
  <si>
    <t>Constrained ORP 1</t>
  </si>
  <si>
    <t>Constrained ORP 2</t>
  </si>
  <si>
    <t>Task 2</t>
  </si>
  <si>
    <t>Task 4</t>
  </si>
  <si>
    <t>Task 5</t>
  </si>
  <si>
    <t>Task 7</t>
  </si>
  <si>
    <t>Worksheet: [Investment Insiders_Project1_Portfolio Model Q1-Q8.xlsx]Q3,Q4,Q5,Q7</t>
  </si>
  <si>
    <t>Report Created: 10/22/24 7:00:36 PM</t>
  </si>
  <si>
    <t>Solution Time: 2050.745 Seconds.</t>
  </si>
  <si>
    <t>Iterations: 12 Subproblems: 0</t>
  </si>
  <si>
    <t>Iterations: 26 Subproblems: 0</t>
  </si>
  <si>
    <t>Answer for scenario 6a and 6b</t>
  </si>
  <si>
    <t>Report Created: 10/22/24 7:09:31 PM</t>
  </si>
  <si>
    <t>Solution Time: 4329.691 Seconds.</t>
  </si>
  <si>
    <t>The Sharpe Ratio without constraints (0.3585) is higher than both scenario a (0.1920) and scenario b (0.2620) because removing constraints allows for the most efficient allocation of capital across assets. In scenario a, the tight bounds (0%-15%) force the portfolio to over-diversify, limiting exposure to high-return assets and lowering the Sharpe Ratio. In scenario b, the wider range (-20% to 35%) improves flexibility, allowing for better risk-return optimization, but still not as efficient as the unconstrained portfolio, leading to a lower Sharpe Ratio than the fully optimized case</t>
  </si>
  <si>
    <t>Annualized</t>
  </si>
  <si>
    <t>Std deviation</t>
  </si>
  <si>
    <t>Orig Port</t>
  </si>
  <si>
    <t>GMV</t>
  </si>
  <si>
    <t>Eport 1</t>
  </si>
  <si>
    <t>Annualized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</si>
</sst>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"/>
    <numFmt numFmtId="165" formatCode="0.000%"/>
    <numFmt numFmtId="166" formatCode="0.0000"/>
    <numFmt numFmtId="167" formatCode="0.0000000000000000%"/>
    <numFmt numFmtId="168" formatCode="0.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0" fillId="4" borderId="0" xfId="0" applyFill="1"/>
    <xf numFmtId="0" fontId="4" fillId="5" borderId="0" xfId="0" applyFont="1" applyFill="1" applyAlignment="1">
      <alignment horizontal="center"/>
    </xf>
    <xf numFmtId="0" fontId="2" fillId="6" borderId="0" xfId="0" applyFont="1" applyFill="1"/>
    <xf numFmtId="0" fontId="2" fillId="8" borderId="0" xfId="0" applyFont="1" applyFill="1"/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164" fontId="1" fillId="7" borderId="1" xfId="0" applyNumberFormat="1" applyFont="1" applyFill="1" applyBorder="1" applyAlignment="1">
      <alignment horizontal="center" vertical="top"/>
    </xf>
    <xf numFmtId="0" fontId="0" fillId="7" borderId="0" xfId="0" applyFill="1"/>
    <xf numFmtId="0" fontId="4" fillId="5" borderId="0" xfId="0" applyFont="1" applyFill="1"/>
    <xf numFmtId="10" fontId="4" fillId="5" borderId="0" xfId="1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10" fontId="0" fillId="0" borderId="0" xfId="1" applyNumberFormat="1" applyFont="1" applyAlignment="1">
      <alignment vertical="center"/>
    </xf>
    <xf numFmtId="10" fontId="5" fillId="0" borderId="0" xfId="1" applyNumberFormat="1" applyFont="1" applyAlignment="1">
      <alignment horizontal="center" vertical="center"/>
    </xf>
    <xf numFmtId="10" fontId="2" fillId="11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167" fontId="0" fillId="0" borderId="0" xfId="0" applyNumberFormat="1"/>
    <xf numFmtId="0" fontId="2" fillId="7" borderId="0" xfId="0" applyFont="1" applyFill="1" applyAlignment="1">
      <alignment horizontal="center"/>
    </xf>
    <xf numFmtId="9" fontId="0" fillId="0" borderId="0" xfId="0" applyNumberFormat="1"/>
    <xf numFmtId="10" fontId="3" fillId="0" borderId="0" xfId="1" applyNumberFormat="1" applyFont="1" applyAlignment="1">
      <alignment horizontal="center"/>
    </xf>
    <xf numFmtId="0" fontId="4" fillId="12" borderId="0" xfId="0" applyFont="1" applyFill="1" applyAlignment="1">
      <alignment horizontal="center"/>
    </xf>
    <xf numFmtId="9" fontId="0" fillId="0" borderId="0" xfId="1" applyFont="1"/>
    <xf numFmtId="10" fontId="0" fillId="0" borderId="0" xfId="0" applyNumberFormat="1"/>
    <xf numFmtId="0" fontId="4" fillId="0" borderId="0" xfId="0" applyFont="1" applyAlignment="1">
      <alignment horizontal="center"/>
    </xf>
    <xf numFmtId="10" fontId="8" fillId="3" borderId="0" xfId="1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65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0" fillId="0" borderId="5" xfId="0" applyBorder="1"/>
    <xf numFmtId="166" fontId="0" fillId="0" borderId="4" xfId="0" applyNumberFormat="1" applyBorder="1"/>
    <xf numFmtId="165" fontId="0" fillId="0" borderId="5" xfId="0" applyNumberFormat="1" applyBorder="1"/>
    <xf numFmtId="165" fontId="0" fillId="0" borderId="4" xfId="0" applyNumberForma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165" fontId="0" fillId="11" borderId="5" xfId="0" applyNumberFormat="1" applyFill="1" applyBorder="1"/>
    <xf numFmtId="165" fontId="0" fillId="11" borderId="4" xfId="0" applyNumberFormat="1" applyFill="1" applyBorder="1"/>
    <xf numFmtId="166" fontId="0" fillId="11" borderId="4" xfId="0" applyNumberFormat="1" applyFill="1" applyBorder="1"/>
    <xf numFmtId="0" fontId="2" fillId="0" borderId="0" xfId="0" applyFont="1" applyAlignment="1">
      <alignment horizontal="center"/>
    </xf>
    <xf numFmtId="0" fontId="2" fillId="4" borderId="0" xfId="0" applyFont="1" applyFill="1"/>
    <xf numFmtId="165" fontId="2" fillId="4" borderId="0" xfId="1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Capital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'Q3,Q4,Q5,Q7'!$BU$136:$BU$335</c:f>
              <c:numCache>
                <c:formatCode>0.000%</c:formatCode>
                <c:ptCount val="200"/>
                <c:pt idx="0">
                  <c:v>0</c:v>
                </c:pt>
                <c:pt idx="1">
                  <c:v>7.7111761328710457E-4</c:v>
                </c:pt>
                <c:pt idx="2">
                  <c:v>1.5422352265742091E-3</c:v>
                </c:pt>
                <c:pt idx="3">
                  <c:v>2.313352839861314E-3</c:v>
                </c:pt>
                <c:pt idx="4">
                  <c:v>3.0844704531484183E-3</c:v>
                </c:pt>
                <c:pt idx="5">
                  <c:v>3.855588066435523E-3</c:v>
                </c:pt>
                <c:pt idx="6">
                  <c:v>4.6267056797226281E-3</c:v>
                </c:pt>
                <c:pt idx="7">
                  <c:v>5.3978232930097323E-3</c:v>
                </c:pt>
                <c:pt idx="8">
                  <c:v>6.1689409062968366E-3</c:v>
                </c:pt>
                <c:pt idx="9">
                  <c:v>6.9400585195839417E-3</c:v>
                </c:pt>
                <c:pt idx="10">
                  <c:v>7.7111761328710459E-3</c:v>
                </c:pt>
                <c:pt idx="11">
                  <c:v>8.482293746158151E-3</c:v>
                </c:pt>
                <c:pt idx="12">
                  <c:v>9.2534113594452561E-3</c:v>
                </c:pt>
                <c:pt idx="13">
                  <c:v>1.002452897273236E-2</c:v>
                </c:pt>
                <c:pt idx="14">
                  <c:v>1.0795646586019465E-2</c:v>
                </c:pt>
                <c:pt idx="15">
                  <c:v>1.156676419930657E-2</c:v>
                </c:pt>
                <c:pt idx="16">
                  <c:v>1.2337881812593673E-2</c:v>
                </c:pt>
                <c:pt idx="17">
                  <c:v>1.3108999425880778E-2</c:v>
                </c:pt>
                <c:pt idx="18">
                  <c:v>1.3880117039167883E-2</c:v>
                </c:pt>
                <c:pt idx="19">
                  <c:v>1.4651234652454988E-2</c:v>
                </c:pt>
                <c:pt idx="20">
                  <c:v>1.5422352265742092E-2</c:v>
                </c:pt>
                <c:pt idx="21">
                  <c:v>1.6193469879029199E-2</c:v>
                </c:pt>
                <c:pt idx="22">
                  <c:v>1.6964587492316302E-2</c:v>
                </c:pt>
                <c:pt idx="23">
                  <c:v>1.7735705105603405E-2</c:v>
                </c:pt>
                <c:pt idx="24">
                  <c:v>1.8506822718890512E-2</c:v>
                </c:pt>
                <c:pt idx="25">
                  <c:v>1.9277940332177616E-2</c:v>
                </c:pt>
                <c:pt idx="26">
                  <c:v>2.0049057945464719E-2</c:v>
                </c:pt>
                <c:pt idx="27">
                  <c:v>2.0820175558751826E-2</c:v>
                </c:pt>
                <c:pt idx="28">
                  <c:v>2.1591293172038929E-2</c:v>
                </c:pt>
                <c:pt idx="29">
                  <c:v>2.2362410785326033E-2</c:v>
                </c:pt>
                <c:pt idx="30">
                  <c:v>2.3133528398613139E-2</c:v>
                </c:pt>
                <c:pt idx="31">
                  <c:v>2.3904646011900243E-2</c:v>
                </c:pt>
                <c:pt idx="32">
                  <c:v>2.4675763625187346E-2</c:v>
                </c:pt>
                <c:pt idx="33">
                  <c:v>2.5446881238474453E-2</c:v>
                </c:pt>
                <c:pt idx="34">
                  <c:v>2.6217998851761556E-2</c:v>
                </c:pt>
                <c:pt idx="35">
                  <c:v>2.6989116465048663E-2</c:v>
                </c:pt>
                <c:pt idx="36">
                  <c:v>2.7760234078335767E-2</c:v>
                </c:pt>
                <c:pt idx="37">
                  <c:v>2.853135169162287E-2</c:v>
                </c:pt>
                <c:pt idx="38">
                  <c:v>2.9302469304909977E-2</c:v>
                </c:pt>
                <c:pt idx="39">
                  <c:v>3.007358691819708E-2</c:v>
                </c:pt>
                <c:pt idx="40">
                  <c:v>3.0844704531484184E-2</c:v>
                </c:pt>
                <c:pt idx="41">
                  <c:v>3.1615822144771287E-2</c:v>
                </c:pt>
                <c:pt idx="42">
                  <c:v>3.2386939758058397E-2</c:v>
                </c:pt>
                <c:pt idx="43">
                  <c:v>3.3158057371345501E-2</c:v>
                </c:pt>
                <c:pt idx="44">
                  <c:v>3.3929174984632604E-2</c:v>
                </c:pt>
                <c:pt idx="45">
                  <c:v>3.4700292597919707E-2</c:v>
                </c:pt>
                <c:pt idx="46">
                  <c:v>3.5471410211206811E-2</c:v>
                </c:pt>
                <c:pt idx="47">
                  <c:v>3.6242527824493914E-2</c:v>
                </c:pt>
                <c:pt idx="48">
                  <c:v>3.7013645437781025E-2</c:v>
                </c:pt>
                <c:pt idx="49">
                  <c:v>3.7784763051068128E-2</c:v>
                </c:pt>
                <c:pt idx="50">
                  <c:v>3.8555880664355231E-2</c:v>
                </c:pt>
                <c:pt idx="51">
                  <c:v>3.9326998277642335E-2</c:v>
                </c:pt>
                <c:pt idx="52">
                  <c:v>4.0098115890929438E-2</c:v>
                </c:pt>
                <c:pt idx="53">
                  <c:v>4.0869233504216541E-2</c:v>
                </c:pt>
                <c:pt idx="54">
                  <c:v>4.1640351117503652E-2</c:v>
                </c:pt>
                <c:pt idx="55">
                  <c:v>4.2411468730790755E-2</c:v>
                </c:pt>
                <c:pt idx="56">
                  <c:v>4.3182586344077858E-2</c:v>
                </c:pt>
                <c:pt idx="57">
                  <c:v>4.3953703957364962E-2</c:v>
                </c:pt>
                <c:pt idx="58">
                  <c:v>4.4724821570652065E-2</c:v>
                </c:pt>
                <c:pt idx="59">
                  <c:v>4.5495939183939176E-2</c:v>
                </c:pt>
                <c:pt idx="60">
                  <c:v>4.6267056797226279E-2</c:v>
                </c:pt>
                <c:pt idx="61">
                  <c:v>4.7038174410513382E-2</c:v>
                </c:pt>
                <c:pt idx="62">
                  <c:v>4.7809292023800486E-2</c:v>
                </c:pt>
                <c:pt idx="63">
                  <c:v>4.8580409637087589E-2</c:v>
                </c:pt>
                <c:pt idx="64">
                  <c:v>4.9351527250374692E-2</c:v>
                </c:pt>
                <c:pt idx="65">
                  <c:v>5.0122644863661803E-2</c:v>
                </c:pt>
                <c:pt idx="66">
                  <c:v>5.0893762476948906E-2</c:v>
                </c:pt>
                <c:pt idx="67">
                  <c:v>5.1664880090236009E-2</c:v>
                </c:pt>
                <c:pt idx="68">
                  <c:v>5.2435997703523113E-2</c:v>
                </c:pt>
                <c:pt idx="69">
                  <c:v>5.3207115316810216E-2</c:v>
                </c:pt>
                <c:pt idx="70">
                  <c:v>5.3978232930097327E-2</c:v>
                </c:pt>
                <c:pt idx="71">
                  <c:v>5.474935054338443E-2</c:v>
                </c:pt>
                <c:pt idx="72">
                  <c:v>5.5520468156671533E-2</c:v>
                </c:pt>
                <c:pt idx="73">
                  <c:v>5.6291585769958637E-2</c:v>
                </c:pt>
                <c:pt idx="74">
                  <c:v>5.706270338324574E-2</c:v>
                </c:pt>
                <c:pt idx="75">
                  <c:v>5.7833820996532843E-2</c:v>
                </c:pt>
                <c:pt idx="76">
                  <c:v>5.8604938609819954E-2</c:v>
                </c:pt>
                <c:pt idx="77">
                  <c:v>5.9376056223107057E-2</c:v>
                </c:pt>
                <c:pt idx="78">
                  <c:v>6.014717383639416E-2</c:v>
                </c:pt>
                <c:pt idx="79">
                  <c:v>6.0918291449681264E-2</c:v>
                </c:pt>
                <c:pt idx="80">
                  <c:v>6.1689409062968367E-2</c:v>
                </c:pt>
                <c:pt idx="81">
                  <c:v>6.2460526676255471E-2</c:v>
                </c:pt>
                <c:pt idx="82">
                  <c:v>6.3231644289542574E-2</c:v>
                </c:pt>
                <c:pt idx="83">
                  <c:v>6.4002761902829677E-2</c:v>
                </c:pt>
                <c:pt idx="84">
                  <c:v>6.4773879516116795E-2</c:v>
                </c:pt>
                <c:pt idx="85">
                  <c:v>6.5544997129403898E-2</c:v>
                </c:pt>
                <c:pt idx="86">
                  <c:v>6.6316114742691001E-2</c:v>
                </c:pt>
                <c:pt idx="87">
                  <c:v>6.7087232355978105E-2</c:v>
                </c:pt>
                <c:pt idx="88">
                  <c:v>6.7858349969265208E-2</c:v>
                </c:pt>
                <c:pt idx="89">
                  <c:v>6.8629467582552311E-2</c:v>
                </c:pt>
                <c:pt idx="90">
                  <c:v>6.9400585195839415E-2</c:v>
                </c:pt>
                <c:pt idx="91">
                  <c:v>7.0171702809126518E-2</c:v>
                </c:pt>
                <c:pt idx="92">
                  <c:v>7.0942820422413622E-2</c:v>
                </c:pt>
                <c:pt idx="93">
                  <c:v>7.1713938035700725E-2</c:v>
                </c:pt>
                <c:pt idx="94">
                  <c:v>7.2485055648987828E-2</c:v>
                </c:pt>
                <c:pt idx="95">
                  <c:v>7.3256173262274932E-2</c:v>
                </c:pt>
                <c:pt idx="96">
                  <c:v>7.4027290875562035E-2</c:v>
                </c:pt>
                <c:pt idx="97">
                  <c:v>7.4798408488849139E-2</c:v>
                </c:pt>
                <c:pt idx="98">
                  <c:v>7.5569526102136242E-2</c:v>
                </c:pt>
                <c:pt idx="99">
                  <c:v>7.6340643715423345E-2</c:v>
                </c:pt>
                <c:pt idx="100">
                  <c:v>7.7111761328710449E-2</c:v>
                </c:pt>
                <c:pt idx="101">
                  <c:v>7.7882878941997552E-2</c:v>
                </c:pt>
                <c:pt idx="102">
                  <c:v>7.8653996555284655E-2</c:v>
                </c:pt>
                <c:pt idx="103">
                  <c:v>7.9425114168571759E-2</c:v>
                </c:pt>
                <c:pt idx="104">
                  <c:v>8.0196231781858862E-2</c:v>
                </c:pt>
                <c:pt idx="105">
                  <c:v>8.0967349395145966E-2</c:v>
                </c:pt>
                <c:pt idx="106">
                  <c:v>8.1738467008433069E-2</c:v>
                </c:pt>
                <c:pt idx="107">
                  <c:v>8.2509584621720172E-2</c:v>
                </c:pt>
                <c:pt idx="108">
                  <c:v>8.3280702235007276E-2</c:v>
                </c:pt>
                <c:pt idx="109">
                  <c:v>8.4051819848294393E-2</c:v>
                </c:pt>
                <c:pt idx="110">
                  <c:v>8.4822937461581496E-2</c:v>
                </c:pt>
                <c:pt idx="111">
                  <c:v>8.55940550748686E-2</c:v>
                </c:pt>
                <c:pt idx="112">
                  <c:v>8.6365172688155703E-2</c:v>
                </c:pt>
                <c:pt idx="113">
                  <c:v>8.7136290301442806E-2</c:v>
                </c:pt>
                <c:pt idx="114">
                  <c:v>8.790740791472991E-2</c:v>
                </c:pt>
                <c:pt idx="115">
                  <c:v>8.8678525528017013E-2</c:v>
                </c:pt>
                <c:pt idx="116">
                  <c:v>8.9449643141304117E-2</c:v>
                </c:pt>
                <c:pt idx="117">
                  <c:v>9.022076075459122E-2</c:v>
                </c:pt>
                <c:pt idx="118">
                  <c:v>9.0991878367878323E-2</c:v>
                </c:pt>
                <c:pt idx="119">
                  <c:v>9.1762995981165427E-2</c:v>
                </c:pt>
                <c:pt idx="120">
                  <c:v>9.253411359445253E-2</c:v>
                </c:pt>
                <c:pt idx="121">
                  <c:v>9.3305231207739647E-2</c:v>
                </c:pt>
                <c:pt idx="122">
                  <c:v>9.4076348821026751E-2</c:v>
                </c:pt>
                <c:pt idx="123">
                  <c:v>9.4847466434313854E-2</c:v>
                </c:pt>
                <c:pt idx="124">
                  <c:v>9.5618584047600957E-2</c:v>
                </c:pt>
                <c:pt idx="125">
                  <c:v>9.6389701660888061E-2</c:v>
                </c:pt>
                <c:pt idx="126">
                  <c:v>9.7160819274175164E-2</c:v>
                </c:pt>
                <c:pt idx="127">
                  <c:v>9.7931936887462268E-2</c:v>
                </c:pt>
                <c:pt idx="128">
                  <c:v>9.8703054500749371E-2</c:v>
                </c:pt>
                <c:pt idx="129">
                  <c:v>9.9474172114036474E-2</c:v>
                </c:pt>
                <c:pt idx="130">
                  <c:v>0.10024528972732358</c:v>
                </c:pt>
                <c:pt idx="131">
                  <c:v>0.10101640734061068</c:v>
                </c:pt>
                <c:pt idx="132">
                  <c:v>0.1017875249538978</c:v>
                </c:pt>
                <c:pt idx="133">
                  <c:v>0.1025586425671849</c:v>
                </c:pt>
                <c:pt idx="134">
                  <c:v>0.10332976018047201</c:v>
                </c:pt>
                <c:pt idx="135">
                  <c:v>0.10410087779375911</c:v>
                </c:pt>
                <c:pt idx="136">
                  <c:v>0.10487199540704621</c:v>
                </c:pt>
                <c:pt idx="137">
                  <c:v>0.10564311302033332</c:v>
                </c:pt>
                <c:pt idx="138">
                  <c:v>0.10641423063362042</c:v>
                </c:pt>
                <c:pt idx="139">
                  <c:v>0.10718534824690752</c:v>
                </c:pt>
                <c:pt idx="140">
                  <c:v>0.10795646586019463</c:v>
                </c:pt>
                <c:pt idx="141">
                  <c:v>0.10872758347348173</c:v>
                </c:pt>
                <c:pt idx="142">
                  <c:v>0.10949870108676883</c:v>
                </c:pt>
                <c:pt idx="143">
                  <c:v>0.11026981870005595</c:v>
                </c:pt>
                <c:pt idx="144">
                  <c:v>0.11104093631334305</c:v>
                </c:pt>
                <c:pt idx="145">
                  <c:v>0.11181205392663016</c:v>
                </c:pt>
                <c:pt idx="146">
                  <c:v>0.11258317153991726</c:v>
                </c:pt>
                <c:pt idx="147">
                  <c:v>0.11335428915320436</c:v>
                </c:pt>
                <c:pt idx="148">
                  <c:v>0.11412540676649147</c:v>
                </c:pt>
                <c:pt idx="149">
                  <c:v>0.11489652437977857</c:v>
                </c:pt>
                <c:pt idx="150">
                  <c:v>0.11566764199306566</c:v>
                </c:pt>
                <c:pt idx="151">
                  <c:v>0.11643875960635278</c:v>
                </c:pt>
                <c:pt idx="152">
                  <c:v>0.11720987721963987</c:v>
                </c:pt>
                <c:pt idx="153">
                  <c:v>0.11798099483292698</c:v>
                </c:pt>
                <c:pt idx="154">
                  <c:v>0.11875211244621407</c:v>
                </c:pt>
                <c:pt idx="155">
                  <c:v>0.1195232300595012</c:v>
                </c:pt>
                <c:pt idx="156">
                  <c:v>0.12029434767278828</c:v>
                </c:pt>
                <c:pt idx="157">
                  <c:v>0.12106546528607541</c:v>
                </c:pt>
                <c:pt idx="158">
                  <c:v>0.1218365828993625</c:v>
                </c:pt>
                <c:pt idx="159">
                  <c:v>0.12260770051264962</c:v>
                </c:pt>
                <c:pt idx="160">
                  <c:v>0.12337881812593671</c:v>
                </c:pt>
                <c:pt idx="161">
                  <c:v>0.12414993573922382</c:v>
                </c:pt>
                <c:pt idx="162">
                  <c:v>0.12492105335251091</c:v>
                </c:pt>
                <c:pt idx="163">
                  <c:v>0.12569217096579804</c:v>
                </c:pt>
                <c:pt idx="164">
                  <c:v>0.12646328857908512</c:v>
                </c:pt>
                <c:pt idx="165">
                  <c:v>0.12723440619237225</c:v>
                </c:pt>
                <c:pt idx="166">
                  <c:v>0.12800552380565933</c:v>
                </c:pt>
                <c:pt idx="167">
                  <c:v>0.12877664141894646</c:v>
                </c:pt>
                <c:pt idx="168">
                  <c:v>0.12954775903223353</c:v>
                </c:pt>
                <c:pt idx="169">
                  <c:v>0.13031887664552066</c:v>
                </c:pt>
                <c:pt idx="170">
                  <c:v>0.13108999425880774</c:v>
                </c:pt>
                <c:pt idx="171">
                  <c:v>0.13186111187209487</c:v>
                </c:pt>
                <c:pt idx="172">
                  <c:v>0.13263222948538195</c:v>
                </c:pt>
                <c:pt idx="173">
                  <c:v>0.13340334709866908</c:v>
                </c:pt>
                <c:pt idx="174">
                  <c:v>0.13417446471195618</c:v>
                </c:pt>
                <c:pt idx="175">
                  <c:v>0.13494558232524329</c:v>
                </c:pt>
                <c:pt idx="176">
                  <c:v>0.13571669993853039</c:v>
                </c:pt>
                <c:pt idx="177">
                  <c:v>0.13648781755181749</c:v>
                </c:pt>
                <c:pt idx="178">
                  <c:v>0.1372589351651046</c:v>
                </c:pt>
                <c:pt idx="179">
                  <c:v>0.1380300527783917</c:v>
                </c:pt>
                <c:pt idx="180">
                  <c:v>0.1388011703916788</c:v>
                </c:pt>
                <c:pt idx="181">
                  <c:v>0.13957228800496591</c:v>
                </c:pt>
                <c:pt idx="182">
                  <c:v>0.14034340561825301</c:v>
                </c:pt>
                <c:pt idx="183">
                  <c:v>0.14111452323154014</c:v>
                </c:pt>
                <c:pt idx="184">
                  <c:v>0.14188564084482722</c:v>
                </c:pt>
                <c:pt idx="185">
                  <c:v>0.14265675845811435</c:v>
                </c:pt>
                <c:pt idx="186">
                  <c:v>0.14342787607140142</c:v>
                </c:pt>
                <c:pt idx="187">
                  <c:v>0.14419899368468855</c:v>
                </c:pt>
                <c:pt idx="188">
                  <c:v>0.14497011129797563</c:v>
                </c:pt>
                <c:pt idx="189">
                  <c:v>0.14574122891126276</c:v>
                </c:pt>
                <c:pt idx="190">
                  <c:v>0.14651234652454984</c:v>
                </c:pt>
                <c:pt idx="191">
                  <c:v>0.14728346413783697</c:v>
                </c:pt>
                <c:pt idx="192">
                  <c:v>0.14805458175112404</c:v>
                </c:pt>
                <c:pt idx="193">
                  <c:v>0.14882569936441117</c:v>
                </c:pt>
                <c:pt idx="194">
                  <c:v>0.14959681697769825</c:v>
                </c:pt>
                <c:pt idx="195">
                  <c:v>0.15036793459098538</c:v>
                </c:pt>
                <c:pt idx="196">
                  <c:v>0.15113905220427248</c:v>
                </c:pt>
                <c:pt idx="197">
                  <c:v>0.15191016981755959</c:v>
                </c:pt>
                <c:pt idx="198">
                  <c:v>0.15268128743084669</c:v>
                </c:pt>
                <c:pt idx="199">
                  <c:v>0.15345240504413379</c:v>
                </c:pt>
              </c:numCache>
            </c:numRef>
          </c:xVal>
          <c:yVal>
            <c:numRef>
              <c:f>'Q3,Q4,Q5,Q7'!$BV$136:$BV$335</c:f>
              <c:numCache>
                <c:formatCode>0.000%</c:formatCode>
                <c:ptCount val="200"/>
                <c:pt idx="0">
                  <c:v>2.5000000000000001E-3</c:v>
                </c:pt>
                <c:pt idx="1">
                  <c:v>2.7764317589028232E-3</c:v>
                </c:pt>
                <c:pt idx="2">
                  <c:v>3.0528635178056459E-3</c:v>
                </c:pt>
                <c:pt idx="3">
                  <c:v>3.329295276708469E-3</c:v>
                </c:pt>
                <c:pt idx="4">
                  <c:v>3.6057270356112912E-3</c:v>
                </c:pt>
                <c:pt idx="5">
                  <c:v>3.8821587945141144E-3</c:v>
                </c:pt>
                <c:pt idx="6">
                  <c:v>4.1585905534169375E-3</c:v>
                </c:pt>
                <c:pt idx="7">
                  <c:v>4.4350223123197606E-3</c:v>
                </c:pt>
                <c:pt idx="8">
                  <c:v>4.7114540712225837E-3</c:v>
                </c:pt>
                <c:pt idx="9">
                  <c:v>4.987885830125406E-3</c:v>
                </c:pt>
                <c:pt idx="10">
                  <c:v>5.2643175890282291E-3</c:v>
                </c:pt>
                <c:pt idx="11">
                  <c:v>5.5407493479310522E-3</c:v>
                </c:pt>
                <c:pt idx="12">
                  <c:v>5.8171811068338745E-3</c:v>
                </c:pt>
                <c:pt idx="13">
                  <c:v>6.0936128657366976E-3</c:v>
                </c:pt>
                <c:pt idx="14">
                  <c:v>6.3700446246395207E-3</c:v>
                </c:pt>
                <c:pt idx="15">
                  <c:v>6.6464763835423438E-3</c:v>
                </c:pt>
                <c:pt idx="16">
                  <c:v>6.922908142445167E-3</c:v>
                </c:pt>
                <c:pt idx="17">
                  <c:v>7.1993399013479892E-3</c:v>
                </c:pt>
                <c:pt idx="18">
                  <c:v>7.4757716602508123E-3</c:v>
                </c:pt>
                <c:pt idx="19">
                  <c:v>7.7522034191536346E-3</c:v>
                </c:pt>
                <c:pt idx="20">
                  <c:v>8.0286351780564577E-3</c:v>
                </c:pt>
                <c:pt idx="21">
                  <c:v>8.3050669369592808E-3</c:v>
                </c:pt>
                <c:pt idx="22">
                  <c:v>8.581498695862104E-3</c:v>
                </c:pt>
                <c:pt idx="23">
                  <c:v>8.8579304547649271E-3</c:v>
                </c:pt>
                <c:pt idx="24">
                  <c:v>9.1343622136677502E-3</c:v>
                </c:pt>
                <c:pt idx="25">
                  <c:v>9.4107939725705733E-3</c:v>
                </c:pt>
                <c:pt idx="26">
                  <c:v>9.6872257314733947E-3</c:v>
                </c:pt>
                <c:pt idx="27">
                  <c:v>9.9636574903762196E-3</c:v>
                </c:pt>
                <c:pt idx="28">
                  <c:v>1.0240089249279041E-2</c:v>
                </c:pt>
                <c:pt idx="29">
                  <c:v>1.0516521008181864E-2</c:v>
                </c:pt>
                <c:pt idx="30">
                  <c:v>1.0792952767084687E-2</c:v>
                </c:pt>
                <c:pt idx="31">
                  <c:v>1.106938452598751E-2</c:v>
                </c:pt>
                <c:pt idx="32">
                  <c:v>1.1345816284890332E-2</c:v>
                </c:pt>
                <c:pt idx="33">
                  <c:v>1.1622248043793157E-2</c:v>
                </c:pt>
                <c:pt idx="34">
                  <c:v>1.1898679802695978E-2</c:v>
                </c:pt>
                <c:pt idx="35">
                  <c:v>1.2175111561598803E-2</c:v>
                </c:pt>
                <c:pt idx="36">
                  <c:v>1.2451543320501624E-2</c:v>
                </c:pt>
                <c:pt idx="37">
                  <c:v>1.2727975079404447E-2</c:v>
                </c:pt>
                <c:pt idx="38">
                  <c:v>1.300440683830727E-2</c:v>
                </c:pt>
                <c:pt idx="39">
                  <c:v>1.3280838597210092E-2</c:v>
                </c:pt>
                <c:pt idx="40">
                  <c:v>1.3557270356112917E-2</c:v>
                </c:pt>
                <c:pt idx="41">
                  <c:v>1.3833702115015738E-2</c:v>
                </c:pt>
                <c:pt idx="42">
                  <c:v>1.4110133873918563E-2</c:v>
                </c:pt>
                <c:pt idx="43">
                  <c:v>1.4386565632821384E-2</c:v>
                </c:pt>
                <c:pt idx="44">
                  <c:v>1.4662997391724207E-2</c:v>
                </c:pt>
                <c:pt idx="45">
                  <c:v>1.4939429150627031E-2</c:v>
                </c:pt>
                <c:pt idx="46">
                  <c:v>1.5215860909529854E-2</c:v>
                </c:pt>
                <c:pt idx="47">
                  <c:v>1.5492292668432675E-2</c:v>
                </c:pt>
                <c:pt idx="48">
                  <c:v>1.5768724427335498E-2</c:v>
                </c:pt>
                <c:pt idx="49">
                  <c:v>1.6045156186238321E-2</c:v>
                </c:pt>
                <c:pt idx="50">
                  <c:v>1.6321587945141144E-2</c:v>
                </c:pt>
                <c:pt idx="51">
                  <c:v>1.6598019704043968E-2</c:v>
                </c:pt>
                <c:pt idx="52">
                  <c:v>1.6874451462946791E-2</c:v>
                </c:pt>
                <c:pt idx="53">
                  <c:v>1.7150883221849614E-2</c:v>
                </c:pt>
                <c:pt idx="54">
                  <c:v>1.7427314980752437E-2</c:v>
                </c:pt>
                <c:pt idx="55">
                  <c:v>1.770374673965526E-2</c:v>
                </c:pt>
                <c:pt idx="56">
                  <c:v>1.7980178498558083E-2</c:v>
                </c:pt>
                <c:pt idx="57">
                  <c:v>1.8256610257460906E-2</c:v>
                </c:pt>
                <c:pt idx="58">
                  <c:v>1.8533042016363729E-2</c:v>
                </c:pt>
                <c:pt idx="59">
                  <c:v>1.8809473775266549E-2</c:v>
                </c:pt>
                <c:pt idx="60">
                  <c:v>1.9085905534169372E-2</c:v>
                </c:pt>
                <c:pt idx="61">
                  <c:v>1.9362337293072199E-2</c:v>
                </c:pt>
                <c:pt idx="62">
                  <c:v>1.9638769051975022E-2</c:v>
                </c:pt>
                <c:pt idx="63">
                  <c:v>1.9915200810877842E-2</c:v>
                </c:pt>
                <c:pt idx="64">
                  <c:v>2.0191632569780665E-2</c:v>
                </c:pt>
                <c:pt idx="65">
                  <c:v>2.0468064328683488E-2</c:v>
                </c:pt>
                <c:pt idx="66">
                  <c:v>2.0744496087586314E-2</c:v>
                </c:pt>
                <c:pt idx="67">
                  <c:v>2.1020927846489134E-2</c:v>
                </c:pt>
                <c:pt idx="68">
                  <c:v>2.1297359605391957E-2</c:v>
                </c:pt>
                <c:pt idx="69">
                  <c:v>2.157379136429478E-2</c:v>
                </c:pt>
                <c:pt idx="70">
                  <c:v>2.1850223123197603E-2</c:v>
                </c:pt>
                <c:pt idx="71">
                  <c:v>2.2126654882100426E-2</c:v>
                </c:pt>
                <c:pt idx="72">
                  <c:v>2.240308664100325E-2</c:v>
                </c:pt>
                <c:pt idx="73">
                  <c:v>2.2679518399906073E-2</c:v>
                </c:pt>
                <c:pt idx="74">
                  <c:v>2.2955950158808896E-2</c:v>
                </c:pt>
                <c:pt idx="75">
                  <c:v>2.3232381917711716E-2</c:v>
                </c:pt>
                <c:pt idx="76">
                  <c:v>2.3508813676614542E-2</c:v>
                </c:pt>
                <c:pt idx="77">
                  <c:v>2.3785245435517365E-2</c:v>
                </c:pt>
                <c:pt idx="78">
                  <c:v>2.4061677194420185E-2</c:v>
                </c:pt>
                <c:pt idx="79">
                  <c:v>2.4338108953323008E-2</c:v>
                </c:pt>
                <c:pt idx="80">
                  <c:v>2.4614540712225831E-2</c:v>
                </c:pt>
                <c:pt idx="81">
                  <c:v>2.4890972471128658E-2</c:v>
                </c:pt>
                <c:pt idx="82">
                  <c:v>2.5167404230031477E-2</c:v>
                </c:pt>
                <c:pt idx="83">
                  <c:v>2.54438359889343E-2</c:v>
                </c:pt>
                <c:pt idx="84">
                  <c:v>2.5720267747837124E-2</c:v>
                </c:pt>
                <c:pt idx="85">
                  <c:v>2.5996699506739947E-2</c:v>
                </c:pt>
                <c:pt idx="86">
                  <c:v>2.627313126564277E-2</c:v>
                </c:pt>
                <c:pt idx="87">
                  <c:v>2.6549563024545593E-2</c:v>
                </c:pt>
                <c:pt idx="88">
                  <c:v>2.6825994783448416E-2</c:v>
                </c:pt>
                <c:pt idx="89">
                  <c:v>2.7102426542351239E-2</c:v>
                </c:pt>
                <c:pt idx="90">
                  <c:v>2.7378858301254059E-2</c:v>
                </c:pt>
                <c:pt idx="91">
                  <c:v>2.7655290060156885E-2</c:v>
                </c:pt>
                <c:pt idx="92">
                  <c:v>2.7931721819059705E-2</c:v>
                </c:pt>
                <c:pt idx="93">
                  <c:v>2.8208153577962528E-2</c:v>
                </c:pt>
                <c:pt idx="94">
                  <c:v>2.8484585336865348E-2</c:v>
                </c:pt>
                <c:pt idx="95">
                  <c:v>2.8761017095768171E-2</c:v>
                </c:pt>
                <c:pt idx="96">
                  <c:v>2.9037448854670998E-2</c:v>
                </c:pt>
                <c:pt idx="97">
                  <c:v>2.9313880613573821E-2</c:v>
                </c:pt>
                <c:pt idx="98">
                  <c:v>2.959031237247664E-2</c:v>
                </c:pt>
                <c:pt idx="99">
                  <c:v>2.9866744131379463E-2</c:v>
                </c:pt>
                <c:pt idx="100">
                  <c:v>3.0143175890282283E-2</c:v>
                </c:pt>
                <c:pt idx="101">
                  <c:v>3.041960764918511E-2</c:v>
                </c:pt>
                <c:pt idx="102">
                  <c:v>3.0696039408087929E-2</c:v>
                </c:pt>
                <c:pt idx="103">
                  <c:v>3.0972471166990753E-2</c:v>
                </c:pt>
                <c:pt idx="104">
                  <c:v>3.1248902925893572E-2</c:v>
                </c:pt>
                <c:pt idx="105">
                  <c:v>3.1525334684796402E-2</c:v>
                </c:pt>
                <c:pt idx="106">
                  <c:v>3.1801766443699218E-2</c:v>
                </c:pt>
                <c:pt idx="107">
                  <c:v>3.2078198202602042E-2</c:v>
                </c:pt>
                <c:pt idx="108">
                  <c:v>3.2354629961504872E-2</c:v>
                </c:pt>
                <c:pt idx="109">
                  <c:v>3.2631061720407688E-2</c:v>
                </c:pt>
                <c:pt idx="110">
                  <c:v>3.2907493479310518E-2</c:v>
                </c:pt>
                <c:pt idx="111">
                  <c:v>3.3183925238213334E-2</c:v>
                </c:pt>
                <c:pt idx="112">
                  <c:v>3.3460356997116157E-2</c:v>
                </c:pt>
                <c:pt idx="113">
                  <c:v>3.3736788756018987E-2</c:v>
                </c:pt>
                <c:pt idx="114">
                  <c:v>3.4013220514921803E-2</c:v>
                </c:pt>
                <c:pt idx="115">
                  <c:v>3.4289652273824626E-2</c:v>
                </c:pt>
                <c:pt idx="116">
                  <c:v>3.456608403272745E-2</c:v>
                </c:pt>
                <c:pt idx="117">
                  <c:v>3.4842515791630273E-2</c:v>
                </c:pt>
                <c:pt idx="118">
                  <c:v>3.5118947550533103E-2</c:v>
                </c:pt>
                <c:pt idx="119">
                  <c:v>3.5395379309435919E-2</c:v>
                </c:pt>
                <c:pt idx="120">
                  <c:v>3.5671811068338742E-2</c:v>
                </c:pt>
                <c:pt idx="121">
                  <c:v>3.5948242827241565E-2</c:v>
                </c:pt>
                <c:pt idx="122">
                  <c:v>3.6224674586144388E-2</c:v>
                </c:pt>
                <c:pt idx="123">
                  <c:v>3.6501106345047211E-2</c:v>
                </c:pt>
                <c:pt idx="124">
                  <c:v>3.6777538103950035E-2</c:v>
                </c:pt>
                <c:pt idx="125">
                  <c:v>3.7053969862852858E-2</c:v>
                </c:pt>
                <c:pt idx="126">
                  <c:v>3.7330401621755674E-2</c:v>
                </c:pt>
                <c:pt idx="127">
                  <c:v>3.7606833380658504E-2</c:v>
                </c:pt>
                <c:pt idx="128">
                  <c:v>3.7883265139561327E-2</c:v>
                </c:pt>
                <c:pt idx="129">
                  <c:v>3.815969689846415E-2</c:v>
                </c:pt>
                <c:pt idx="130">
                  <c:v>3.8436128657366973E-2</c:v>
                </c:pt>
                <c:pt idx="131">
                  <c:v>3.8712560416269789E-2</c:v>
                </c:pt>
                <c:pt idx="132">
                  <c:v>3.898899217517262E-2</c:v>
                </c:pt>
                <c:pt idx="133">
                  <c:v>3.9265423934075443E-2</c:v>
                </c:pt>
                <c:pt idx="134">
                  <c:v>3.9541855692978259E-2</c:v>
                </c:pt>
                <c:pt idx="135">
                  <c:v>3.9818287451881089E-2</c:v>
                </c:pt>
                <c:pt idx="136">
                  <c:v>4.0094719210783905E-2</c:v>
                </c:pt>
                <c:pt idx="137">
                  <c:v>4.0371150969686735E-2</c:v>
                </c:pt>
                <c:pt idx="138">
                  <c:v>4.0647582728589558E-2</c:v>
                </c:pt>
                <c:pt idx="139">
                  <c:v>4.0924014487492374E-2</c:v>
                </c:pt>
                <c:pt idx="140">
                  <c:v>4.1200446246395205E-2</c:v>
                </c:pt>
                <c:pt idx="141">
                  <c:v>4.1476878005298021E-2</c:v>
                </c:pt>
                <c:pt idx="142">
                  <c:v>4.1753309764200844E-2</c:v>
                </c:pt>
                <c:pt idx="143">
                  <c:v>4.2029741523103674E-2</c:v>
                </c:pt>
                <c:pt idx="144">
                  <c:v>4.230617328200649E-2</c:v>
                </c:pt>
                <c:pt idx="145">
                  <c:v>4.2582605040909313E-2</c:v>
                </c:pt>
                <c:pt idx="146">
                  <c:v>4.2859036799812136E-2</c:v>
                </c:pt>
                <c:pt idx="147">
                  <c:v>4.3135468558714959E-2</c:v>
                </c:pt>
                <c:pt idx="148">
                  <c:v>4.341190031761779E-2</c:v>
                </c:pt>
                <c:pt idx="149">
                  <c:v>4.3688332076520606E-2</c:v>
                </c:pt>
                <c:pt idx="150">
                  <c:v>4.3964763835423422E-2</c:v>
                </c:pt>
                <c:pt idx="151">
                  <c:v>4.4241195594326252E-2</c:v>
                </c:pt>
                <c:pt idx="152">
                  <c:v>4.4517627353229068E-2</c:v>
                </c:pt>
                <c:pt idx="153">
                  <c:v>4.4794059112131898E-2</c:v>
                </c:pt>
                <c:pt idx="154">
                  <c:v>4.5070490871034714E-2</c:v>
                </c:pt>
                <c:pt idx="155">
                  <c:v>4.5346922629937544E-2</c:v>
                </c:pt>
                <c:pt idx="156">
                  <c:v>4.5623354388840361E-2</c:v>
                </c:pt>
                <c:pt idx="157">
                  <c:v>4.5899786147743191E-2</c:v>
                </c:pt>
                <c:pt idx="158">
                  <c:v>4.6176217906646007E-2</c:v>
                </c:pt>
                <c:pt idx="159">
                  <c:v>4.6452649665548837E-2</c:v>
                </c:pt>
                <c:pt idx="160">
                  <c:v>4.6729081424451653E-2</c:v>
                </c:pt>
                <c:pt idx="161">
                  <c:v>4.7005513183354476E-2</c:v>
                </c:pt>
                <c:pt idx="162">
                  <c:v>4.7281944942257299E-2</c:v>
                </c:pt>
                <c:pt idx="163">
                  <c:v>4.7558376701160129E-2</c:v>
                </c:pt>
                <c:pt idx="164">
                  <c:v>4.7834808460062946E-2</c:v>
                </c:pt>
                <c:pt idx="165">
                  <c:v>4.8111240218965776E-2</c:v>
                </c:pt>
                <c:pt idx="166">
                  <c:v>4.8387671977868585E-2</c:v>
                </c:pt>
                <c:pt idx="167">
                  <c:v>4.8664103736771422E-2</c:v>
                </c:pt>
                <c:pt idx="168">
                  <c:v>4.8940535495674238E-2</c:v>
                </c:pt>
                <c:pt idx="169">
                  <c:v>4.9216967254577061E-2</c:v>
                </c:pt>
                <c:pt idx="170">
                  <c:v>4.9493399013479884E-2</c:v>
                </c:pt>
                <c:pt idx="171">
                  <c:v>4.9769830772382707E-2</c:v>
                </c:pt>
                <c:pt idx="172">
                  <c:v>5.0046262531285524E-2</c:v>
                </c:pt>
                <c:pt idx="173">
                  <c:v>5.0322694290188361E-2</c:v>
                </c:pt>
                <c:pt idx="174">
                  <c:v>5.059912604909117E-2</c:v>
                </c:pt>
                <c:pt idx="175">
                  <c:v>5.0875557807994007E-2</c:v>
                </c:pt>
                <c:pt idx="176">
                  <c:v>5.1151989566896816E-2</c:v>
                </c:pt>
                <c:pt idx="177">
                  <c:v>5.1428421325799646E-2</c:v>
                </c:pt>
                <c:pt idx="178">
                  <c:v>5.1704853084702469E-2</c:v>
                </c:pt>
                <c:pt idx="179">
                  <c:v>5.1981284843605292E-2</c:v>
                </c:pt>
                <c:pt idx="180">
                  <c:v>5.2257716602508109E-2</c:v>
                </c:pt>
                <c:pt idx="181">
                  <c:v>5.2534148361410939E-2</c:v>
                </c:pt>
                <c:pt idx="182">
                  <c:v>5.2810580120313755E-2</c:v>
                </c:pt>
                <c:pt idx="183">
                  <c:v>5.3087011879216585E-2</c:v>
                </c:pt>
                <c:pt idx="184">
                  <c:v>5.3363443638119401E-2</c:v>
                </c:pt>
                <c:pt idx="185">
                  <c:v>5.3639875397022231E-2</c:v>
                </c:pt>
                <c:pt idx="186">
                  <c:v>5.3916307155925047E-2</c:v>
                </c:pt>
                <c:pt idx="187">
                  <c:v>5.4192738914827877E-2</c:v>
                </c:pt>
                <c:pt idx="188">
                  <c:v>5.4469170673730694E-2</c:v>
                </c:pt>
                <c:pt idx="189">
                  <c:v>5.4745602432633524E-2</c:v>
                </c:pt>
                <c:pt idx="190">
                  <c:v>5.502203419153634E-2</c:v>
                </c:pt>
                <c:pt idx="191">
                  <c:v>5.5298465950439163E-2</c:v>
                </c:pt>
                <c:pt idx="192">
                  <c:v>5.5574897709341986E-2</c:v>
                </c:pt>
                <c:pt idx="193">
                  <c:v>5.5851329468244816E-2</c:v>
                </c:pt>
                <c:pt idx="194">
                  <c:v>5.6127761227147632E-2</c:v>
                </c:pt>
                <c:pt idx="195">
                  <c:v>5.6404192986050462E-2</c:v>
                </c:pt>
                <c:pt idx="196">
                  <c:v>5.6680624744953272E-2</c:v>
                </c:pt>
                <c:pt idx="197">
                  <c:v>5.6957056503856109E-2</c:v>
                </c:pt>
                <c:pt idx="198">
                  <c:v>5.7233488262758925E-2</c:v>
                </c:pt>
                <c:pt idx="199">
                  <c:v>5.7509920021661748E-2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F-AA45-B261-F0DAD7B70C18}"/>
            </c:ext>
          </c:extLst>
        </c:ser>
        <c:ser>
          <c:idx val="1"/>
          <c:order val="1"/>
          <c:tx>
            <c:v>EP</c:v>
          </c:tx>
          <c:spPr>
            <a:ln w="19050" cap="rnd" cmpd="thickThin">
              <a:noFill/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8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19050" cap="rnd" cmpd="thickThin">
                <a:solidFill>
                  <a:srgbClr val="0070C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F-AA45-B261-F0DAD7B70C18}"/>
              </c:ext>
            </c:extLst>
          </c:dPt>
          <c:xVal>
            <c:numRef>
              <c:f>'Q3,Q4,Q5,Q7'!$BE$24:$BE$223</c:f>
              <c:numCache>
                <c:formatCode>0.00%</c:formatCode>
                <c:ptCount val="200"/>
                <c:pt idx="0">
                  <c:v>7.7111761328710268E-2</c:v>
                </c:pt>
                <c:pt idx="1">
                  <c:v>7.557995531990605E-2</c:v>
                </c:pt>
                <c:pt idx="2">
                  <c:v>7.405644419255647E-2</c:v>
                </c:pt>
                <c:pt idx="3">
                  <c:v>7.2541750572168315E-2</c:v>
                </c:pt>
                <c:pt idx="4">
                  <c:v>7.1036438501992372E-2</c:v>
                </c:pt>
                <c:pt idx="5">
                  <c:v>6.9541117213942044E-2</c:v>
                </c:pt>
                <c:pt idx="6">
                  <c:v>6.8056445257024104E-2</c:v>
                </c:pt>
                <c:pt idx="7">
                  <c:v>6.6583135011988037E-2</c:v>
                </c:pt>
                <c:pt idx="8">
                  <c:v>6.5121957620837459E-2</c:v>
                </c:pt>
                <c:pt idx="9">
                  <c:v>6.3673748358792942E-2</c:v>
                </c:pt>
                <c:pt idx="10">
                  <c:v>6.2239412473856476E-2</c:v>
                </c:pt>
                <c:pt idx="11">
                  <c:v>6.0819931514808592E-2</c:v>
                </c:pt>
                <c:pt idx="12">
                  <c:v>5.9416370161634653E-2</c:v>
                </c:pt>
                <c:pt idx="13">
                  <c:v>5.8029883562230128E-2</c:v>
                </c:pt>
                <c:pt idx="14">
                  <c:v>5.6661725164795292E-2</c:v>
                </c:pt>
                <c:pt idx="15">
                  <c:v>5.5313255015401339E-2</c:v>
                </c:pt>
                <c:pt idx="16">
                  <c:v>5.3985948463373894E-2</c:v>
                </c:pt>
                <c:pt idx="17">
                  <c:v>5.268140518175761E-2</c:v>
                </c:pt>
                <c:pt idx="18">
                  <c:v>5.1401358364368023E-2</c:v>
                </c:pt>
                <c:pt idx="19">
                  <c:v>5.0147683902879013E-2</c:v>
                </c:pt>
                <c:pt idx="20">
                  <c:v>4.8922409275169283E-2</c:v>
                </c:pt>
                <c:pt idx="21">
                  <c:v>4.77277217882279E-2</c:v>
                </c:pt>
                <c:pt idx="22">
                  <c:v>4.6565975714517267E-2</c:v>
                </c:pt>
                <c:pt idx="23">
                  <c:v>4.5439697740398265E-2</c:v>
                </c:pt>
                <c:pt idx="24">
                  <c:v>4.4351590011810313E-2</c:v>
                </c:pt>
                <c:pt idx="25">
                  <c:v>4.3304529921890211E-2</c:v>
                </c:pt>
                <c:pt idx="26">
                  <c:v>4.2301565648085314E-2</c:v>
                </c:pt>
                <c:pt idx="27">
                  <c:v>4.1345906328751257E-2</c:v>
                </c:pt>
                <c:pt idx="28">
                  <c:v>4.0440905694057956E-2</c:v>
                </c:pt>
                <c:pt idx="29">
                  <c:v>3.9590037962961344E-2</c:v>
                </c:pt>
                <c:pt idx="30">
                  <c:v>3.8796864922374406E-2</c:v>
                </c:pt>
                <c:pt idx="31">
                  <c:v>3.8064993354057296E-2</c:v>
                </c:pt>
                <c:pt idx="32">
                  <c:v>3.7398022402623118E-2</c:v>
                </c:pt>
                <c:pt idx="33">
                  <c:v>3.6799481104398603E-2</c:v>
                </c:pt>
                <c:pt idx="34">
                  <c:v>3.6272757116355164E-2</c:v>
                </c:pt>
                <c:pt idx="35">
                  <c:v>3.5821018654337747E-2</c:v>
                </c:pt>
                <c:pt idx="36">
                  <c:v>3.5447132682206423E-2</c:v>
                </c:pt>
                <c:pt idx="37">
                  <c:v>3.515358335488282E-2</c:v>
                </c:pt>
                <c:pt idx="38">
                  <c:v>3.4942395443510417E-2</c:v>
                </c:pt>
                <c:pt idx="39">
                  <c:v>3.4815067791343371E-2</c:v>
                </c:pt>
                <c:pt idx="40">
                  <c:v>3.4772521631947065E-2</c:v>
                </c:pt>
                <c:pt idx="41">
                  <c:v>3.4815067791343357E-2</c:v>
                </c:pt>
                <c:pt idx="42">
                  <c:v>3.4942395443510382E-2</c:v>
                </c:pt>
                <c:pt idx="43">
                  <c:v>3.5153583354882771E-2</c:v>
                </c:pt>
                <c:pt idx="44">
                  <c:v>3.544713268220636E-2</c:v>
                </c:pt>
                <c:pt idx="45">
                  <c:v>3.5821018654337677E-2</c:v>
                </c:pt>
                <c:pt idx="46">
                  <c:v>3.6272757116355081E-2</c:v>
                </c:pt>
                <c:pt idx="47">
                  <c:v>3.6799481104398513E-2</c:v>
                </c:pt>
                <c:pt idx="48">
                  <c:v>3.7398022402623014E-2</c:v>
                </c:pt>
                <c:pt idx="49">
                  <c:v>3.8064993354057178E-2</c:v>
                </c:pt>
                <c:pt idx="50">
                  <c:v>3.8796864922374281E-2</c:v>
                </c:pt>
                <c:pt idx="51">
                  <c:v>3.9590037962961212E-2</c:v>
                </c:pt>
                <c:pt idx="52">
                  <c:v>4.0440905694057824E-2</c:v>
                </c:pt>
                <c:pt idx="53">
                  <c:v>4.1345906328751118E-2</c:v>
                </c:pt>
                <c:pt idx="54">
                  <c:v>4.2301565648085175E-2</c:v>
                </c:pt>
                <c:pt idx="55">
                  <c:v>4.3304529921890073E-2</c:v>
                </c:pt>
                <c:pt idx="56">
                  <c:v>4.4351590011810174E-2</c:v>
                </c:pt>
                <c:pt idx="57">
                  <c:v>4.5439697740398119E-2</c:v>
                </c:pt>
                <c:pt idx="58">
                  <c:v>4.6565975714517129E-2</c:v>
                </c:pt>
                <c:pt idx="59">
                  <c:v>4.7727721788227755E-2</c:v>
                </c:pt>
                <c:pt idx="60">
                  <c:v>4.8922409275169151E-2</c:v>
                </c:pt>
                <c:pt idx="61">
                  <c:v>5.0147683902878874E-2</c:v>
                </c:pt>
                <c:pt idx="62">
                  <c:v>5.1401358364367891E-2</c:v>
                </c:pt>
                <c:pt idx="63">
                  <c:v>5.2681405181757478E-2</c:v>
                </c:pt>
                <c:pt idx="64">
                  <c:v>5.3985948463373762E-2</c:v>
                </c:pt>
                <c:pt idx="65">
                  <c:v>5.5313255015401221E-2</c:v>
                </c:pt>
                <c:pt idx="66">
                  <c:v>5.6661725164795174E-2</c:v>
                </c:pt>
                <c:pt idx="67">
                  <c:v>5.8029883562230003E-2</c:v>
                </c:pt>
                <c:pt idx="68">
                  <c:v>5.9416370161634542E-2</c:v>
                </c:pt>
                <c:pt idx="69">
                  <c:v>6.0819931514808488E-2</c:v>
                </c:pt>
                <c:pt idx="70">
                  <c:v>6.2239412473856372E-2</c:v>
                </c:pt>
                <c:pt idx="71">
                  <c:v>6.3673748358792859E-2</c:v>
                </c:pt>
                <c:pt idx="72">
                  <c:v>6.5121957620837376E-2</c:v>
                </c:pt>
                <c:pt idx="73">
                  <c:v>6.6583135011987954E-2</c:v>
                </c:pt>
                <c:pt idx="74">
                  <c:v>6.805644525702402E-2</c:v>
                </c:pt>
                <c:pt idx="75">
                  <c:v>6.9541117213941961E-2</c:v>
                </c:pt>
                <c:pt idx="76">
                  <c:v>7.1036438501992302E-2</c:v>
                </c:pt>
                <c:pt idx="77">
                  <c:v>7.2541750572168232E-2</c:v>
                </c:pt>
                <c:pt idx="78">
                  <c:v>7.4056444192556414E-2</c:v>
                </c:pt>
                <c:pt idx="79">
                  <c:v>7.5579955319905995E-2</c:v>
                </c:pt>
                <c:pt idx="80">
                  <c:v>7.7111761328710213E-2</c:v>
                </c:pt>
                <c:pt idx="81">
                  <c:v>7.8651377569729591E-2</c:v>
                </c:pt>
                <c:pt idx="82">
                  <c:v>8.0198354230991378E-2</c:v>
                </c:pt>
                <c:pt idx="83">
                  <c:v>8.175227347570338E-2</c:v>
                </c:pt>
                <c:pt idx="84">
                  <c:v>8.3312746833098916E-2</c:v>
                </c:pt>
                <c:pt idx="85">
                  <c:v>8.4879412819888714E-2</c:v>
                </c:pt>
                <c:pt idx="86">
                  <c:v>8.6451934771671568E-2</c:v>
                </c:pt>
                <c:pt idx="87">
                  <c:v>8.8029998865300704E-2</c:v>
                </c:pt>
                <c:pt idx="88">
                  <c:v>8.9613312314786905E-2</c:v>
                </c:pt>
                <c:pt idx="89">
                  <c:v>9.1201601724824166E-2</c:v>
                </c:pt>
                <c:pt idx="90">
                  <c:v>9.2794611587433129E-2</c:v>
                </c:pt>
                <c:pt idx="91">
                  <c:v>9.4392102908532116E-2</c:v>
                </c:pt>
                <c:pt idx="92">
                  <c:v>9.599385195245827E-2</c:v>
                </c:pt>
                <c:pt idx="93">
                  <c:v>9.7599649093576393E-2</c:v>
                </c:pt>
                <c:pt idx="94">
                  <c:v>9.9209297765135068E-2</c:v>
                </c:pt>
                <c:pt idx="95">
                  <c:v>0.10082261349645938</c:v>
                </c:pt>
                <c:pt idx="96">
                  <c:v>0.1024394230304176</c:v>
                </c:pt>
                <c:pt idx="97">
                  <c:v>0.1040595635138668</c:v>
                </c:pt>
                <c:pt idx="98">
                  <c:v>0.10568288175447964</c:v>
                </c:pt>
                <c:pt idx="99">
                  <c:v>0.10730923353798304</c:v>
                </c:pt>
                <c:pt idx="100">
                  <c:v>0.10893848300041019</c:v>
                </c:pt>
                <c:pt idx="101">
                  <c:v>0.11057050205047975</c:v>
                </c:pt>
                <c:pt idx="102">
                  <c:v>0.11220516983768104</c:v>
                </c:pt>
                <c:pt idx="103">
                  <c:v>0.11384237226206143</c:v>
                </c:pt>
                <c:pt idx="104">
                  <c:v>0.11548200152208959</c:v>
                </c:pt>
                <c:pt idx="105">
                  <c:v>0.11712395569730923</c:v>
                </c:pt>
                <c:pt idx="106">
                  <c:v>0.11876813836280256</c:v>
                </c:pt>
                <c:pt idx="107">
                  <c:v>0.12041445823276202</c:v>
                </c:pt>
                <c:pt idx="108">
                  <c:v>0.12206282883071563</c:v>
                </c:pt>
                <c:pt idx="109">
                  <c:v>0.12371316818417832</c:v>
                </c:pt>
                <c:pt idx="110">
                  <c:v>0.12536539854170373</c:v>
                </c:pt>
                <c:pt idx="111">
                  <c:v>0.12701944611049462</c:v>
                </c:pt>
                <c:pt idx="112">
                  <c:v>0.12867524081289572</c:v>
                </c:pt>
                <c:pt idx="113">
                  <c:v>0.13033271606024238</c:v>
                </c:pt>
                <c:pt idx="114">
                  <c:v>0.1319918085426745</c:v>
                </c:pt>
                <c:pt idx="115">
                  <c:v>0.13365245803364614</c:v>
                </c:pt>
                <c:pt idx="116">
                  <c:v>0.13531460720797386</c:v>
                </c:pt>
                <c:pt idx="117">
                  <c:v>0.13697820147236631</c:v>
                </c:pt>
                <c:pt idx="118">
                  <c:v>0.13864318880746834</c:v>
                </c:pt>
                <c:pt idx="119">
                  <c:v>0.14030951962053631</c:v>
                </c:pt>
                <c:pt idx="120">
                  <c:v>0.14197714660793559</c:v>
                </c:pt>
                <c:pt idx="121">
                  <c:v>0.14364602462671922</c:v>
                </c:pt>
                <c:pt idx="122">
                  <c:v>0.14531611057460908</c:v>
                </c:pt>
                <c:pt idx="123">
                  <c:v>0.14698736327775672</c:v>
                </c:pt>
                <c:pt idx="124">
                  <c:v>0.1486597433857117</c:v>
                </c:pt>
                <c:pt idx="125">
                  <c:v>0.15033321327307314</c:v>
                </c:pt>
                <c:pt idx="126">
                  <c:v>0.15200773694734143</c:v>
                </c:pt>
                <c:pt idx="127">
                  <c:v>0.15368327996252623</c:v>
                </c:pt>
              </c:numCache>
            </c:numRef>
          </c:xVal>
          <c:yVal>
            <c:numRef>
              <c:f>'Q3,Q4,Q5,Q7'!$BF$24:$BF$223</c:f>
              <c:numCache>
                <c:formatCode>0.00%</c:formatCode>
                <c:ptCount val="200"/>
                <c:pt idx="0">
                  <c:v>-1.3901034097013369E-2</c:v>
                </c:pt>
                <c:pt idx="1">
                  <c:v>-1.3350481472172174E-2</c:v>
                </c:pt>
                <c:pt idx="2">
                  <c:v>-1.2799928847330982E-2</c:v>
                </c:pt>
                <c:pt idx="3">
                  <c:v>-1.2249376222489786E-2</c:v>
                </c:pt>
                <c:pt idx="4">
                  <c:v>-1.1698823597648594E-2</c:v>
                </c:pt>
                <c:pt idx="5">
                  <c:v>-1.1148270972807402E-2</c:v>
                </c:pt>
                <c:pt idx="6">
                  <c:v>-1.0597718347966209E-2</c:v>
                </c:pt>
                <c:pt idx="7">
                  <c:v>-1.0047165723125015E-2</c:v>
                </c:pt>
                <c:pt idx="8">
                  <c:v>-9.4966130982838213E-3</c:v>
                </c:pt>
                <c:pt idx="9">
                  <c:v>-8.9460604734426276E-3</c:v>
                </c:pt>
                <c:pt idx="10">
                  <c:v>-8.3955078486014339E-3</c:v>
                </c:pt>
                <c:pt idx="11">
                  <c:v>-7.8449552237602402E-3</c:v>
                </c:pt>
                <c:pt idx="12">
                  <c:v>-7.2944025989190465E-3</c:v>
                </c:pt>
                <c:pt idx="13">
                  <c:v>-6.7438499740778545E-3</c:v>
                </c:pt>
                <c:pt idx="14">
                  <c:v>-6.1932973492366608E-3</c:v>
                </c:pt>
                <c:pt idx="15">
                  <c:v>-5.6427447243954671E-3</c:v>
                </c:pt>
                <c:pt idx="16">
                  <c:v>-5.0921920995542734E-3</c:v>
                </c:pt>
                <c:pt idx="17">
                  <c:v>-4.5416394747130797E-3</c:v>
                </c:pt>
                <c:pt idx="18">
                  <c:v>-3.991086849871886E-3</c:v>
                </c:pt>
                <c:pt idx="19">
                  <c:v>-3.4405342250306923E-3</c:v>
                </c:pt>
                <c:pt idx="20">
                  <c:v>-2.8899816001895003E-3</c:v>
                </c:pt>
                <c:pt idx="21">
                  <c:v>-2.3394289753483066E-3</c:v>
                </c:pt>
                <c:pt idx="22">
                  <c:v>-1.7888763505071112E-3</c:v>
                </c:pt>
                <c:pt idx="23">
                  <c:v>-1.2383237256659192E-3</c:v>
                </c:pt>
                <c:pt idx="24">
                  <c:v>-6.8777110082472552E-4</c:v>
                </c:pt>
                <c:pt idx="25">
                  <c:v>-1.3721847598353182E-4</c:v>
                </c:pt>
                <c:pt idx="26">
                  <c:v>4.1333414885766188E-4</c:v>
                </c:pt>
                <c:pt idx="27">
                  <c:v>9.6388677369885385E-4</c:v>
                </c:pt>
                <c:pt idx="28">
                  <c:v>1.5144393985400476E-3</c:v>
                </c:pt>
                <c:pt idx="29">
                  <c:v>2.0649920233812413E-3</c:v>
                </c:pt>
                <c:pt idx="30">
                  <c:v>2.6155446482224341E-3</c:v>
                </c:pt>
                <c:pt idx="31">
                  <c:v>3.1660972730636295E-3</c:v>
                </c:pt>
                <c:pt idx="32">
                  <c:v>3.7166498979048224E-3</c:v>
                </c:pt>
                <c:pt idx="33">
                  <c:v>4.2672025227460161E-3</c:v>
                </c:pt>
                <c:pt idx="34">
                  <c:v>4.8177551475872089E-3</c:v>
                </c:pt>
                <c:pt idx="35">
                  <c:v>5.3683077724284026E-3</c:v>
                </c:pt>
                <c:pt idx="36">
                  <c:v>5.9188603972695954E-3</c:v>
                </c:pt>
                <c:pt idx="37">
                  <c:v>6.4694130221107891E-3</c:v>
                </c:pt>
                <c:pt idx="38">
                  <c:v>7.0199656469519828E-3</c:v>
                </c:pt>
                <c:pt idx="39">
                  <c:v>7.5705182717931774E-3</c:v>
                </c:pt>
                <c:pt idx="40">
                  <c:v>8.1210708966343702E-3</c:v>
                </c:pt>
                <c:pt idx="41">
                  <c:v>8.6716235214755657E-3</c:v>
                </c:pt>
                <c:pt idx="42">
                  <c:v>9.2221761463167629E-3</c:v>
                </c:pt>
                <c:pt idx="43">
                  <c:v>9.7727287711579583E-3</c:v>
                </c:pt>
                <c:pt idx="44">
                  <c:v>1.0323281395999154E-2</c:v>
                </c:pt>
                <c:pt idx="45">
                  <c:v>1.0873834020840349E-2</c:v>
                </c:pt>
                <c:pt idx="46">
                  <c:v>1.1424386645681545E-2</c:v>
                </c:pt>
                <c:pt idx="47">
                  <c:v>1.1974939270522742E-2</c:v>
                </c:pt>
                <c:pt idx="48">
                  <c:v>1.2525491895363939E-2</c:v>
                </c:pt>
                <c:pt idx="49">
                  <c:v>1.3076044520205134E-2</c:v>
                </c:pt>
                <c:pt idx="50">
                  <c:v>1.362659714504633E-2</c:v>
                </c:pt>
                <c:pt idx="51">
                  <c:v>1.4177149769887525E-2</c:v>
                </c:pt>
                <c:pt idx="52">
                  <c:v>1.4727702394728721E-2</c:v>
                </c:pt>
                <c:pt idx="53">
                  <c:v>1.5278255019569916E-2</c:v>
                </c:pt>
                <c:pt idx="54">
                  <c:v>1.5828807644411115E-2</c:v>
                </c:pt>
                <c:pt idx="55">
                  <c:v>1.637936026925231E-2</c:v>
                </c:pt>
                <c:pt idx="56">
                  <c:v>1.6929912894093506E-2</c:v>
                </c:pt>
                <c:pt idx="57">
                  <c:v>1.7480465518934701E-2</c:v>
                </c:pt>
                <c:pt idx="58">
                  <c:v>1.8031018143775897E-2</c:v>
                </c:pt>
                <c:pt idx="59">
                  <c:v>1.8581570768617092E-2</c:v>
                </c:pt>
                <c:pt idx="60">
                  <c:v>1.9132123393458288E-2</c:v>
                </c:pt>
                <c:pt idx="61">
                  <c:v>1.9682676018299487E-2</c:v>
                </c:pt>
                <c:pt idx="62">
                  <c:v>2.0233228643140682E-2</c:v>
                </c:pt>
                <c:pt idx="63">
                  <c:v>2.0783781267981877E-2</c:v>
                </c:pt>
                <c:pt idx="64">
                  <c:v>2.1334333892823069E-2</c:v>
                </c:pt>
                <c:pt idx="65">
                  <c:v>2.1884886517664268E-2</c:v>
                </c:pt>
                <c:pt idx="66">
                  <c:v>2.2435439142505464E-2</c:v>
                </c:pt>
                <c:pt idx="67">
                  <c:v>2.2985991767346659E-2</c:v>
                </c:pt>
                <c:pt idx="68">
                  <c:v>2.3536544392187858E-2</c:v>
                </c:pt>
                <c:pt idx="69">
                  <c:v>2.4087097017029054E-2</c:v>
                </c:pt>
                <c:pt idx="70">
                  <c:v>2.4637649641870246E-2</c:v>
                </c:pt>
                <c:pt idx="71">
                  <c:v>2.5188202266711444E-2</c:v>
                </c:pt>
                <c:pt idx="72">
                  <c:v>2.573875489155264E-2</c:v>
                </c:pt>
                <c:pt idx="73">
                  <c:v>2.6289307516393832E-2</c:v>
                </c:pt>
                <c:pt idx="74">
                  <c:v>2.6839860141235031E-2</c:v>
                </c:pt>
                <c:pt idx="75">
                  <c:v>2.7390412766076226E-2</c:v>
                </c:pt>
                <c:pt idx="76">
                  <c:v>2.7940965390917418E-2</c:v>
                </c:pt>
                <c:pt idx="77">
                  <c:v>2.8491518015758614E-2</c:v>
                </c:pt>
                <c:pt idx="78">
                  <c:v>2.9042070640599809E-2</c:v>
                </c:pt>
                <c:pt idx="79">
                  <c:v>2.9592623265441004E-2</c:v>
                </c:pt>
                <c:pt idx="80">
                  <c:v>3.0143175890282203E-2</c:v>
                </c:pt>
                <c:pt idx="81">
                  <c:v>3.0693728515123395E-2</c:v>
                </c:pt>
                <c:pt idx="82">
                  <c:v>3.1244281139964594E-2</c:v>
                </c:pt>
                <c:pt idx="83">
                  <c:v>3.179483376480579E-2</c:v>
                </c:pt>
                <c:pt idx="84">
                  <c:v>3.2345386389646978E-2</c:v>
                </c:pt>
                <c:pt idx="85">
                  <c:v>3.2895939014488181E-2</c:v>
                </c:pt>
                <c:pt idx="86">
                  <c:v>3.3446491639329369E-2</c:v>
                </c:pt>
                <c:pt idx="87">
                  <c:v>3.3997044264170571E-2</c:v>
                </c:pt>
                <c:pt idx="88">
                  <c:v>3.4547596889011767E-2</c:v>
                </c:pt>
                <c:pt idx="89">
                  <c:v>3.5098149513852955E-2</c:v>
                </c:pt>
                <c:pt idx="90">
                  <c:v>3.5648702138694158E-2</c:v>
                </c:pt>
                <c:pt idx="91">
                  <c:v>3.6199254763535346E-2</c:v>
                </c:pt>
                <c:pt idx="92">
                  <c:v>3.6749807388376549E-2</c:v>
                </c:pt>
                <c:pt idx="93">
                  <c:v>3.7300360013217744E-2</c:v>
                </c:pt>
                <c:pt idx="94">
                  <c:v>3.7850912638058939E-2</c:v>
                </c:pt>
                <c:pt idx="95">
                  <c:v>3.8401465262900135E-2</c:v>
                </c:pt>
                <c:pt idx="96">
                  <c:v>3.895201788774133E-2</c:v>
                </c:pt>
                <c:pt idx="97">
                  <c:v>3.9502570512582526E-2</c:v>
                </c:pt>
                <c:pt idx="98">
                  <c:v>4.0053123137423721E-2</c:v>
                </c:pt>
                <c:pt idx="99">
                  <c:v>4.0603675762264924E-2</c:v>
                </c:pt>
                <c:pt idx="100">
                  <c:v>4.1154228387106119E-2</c:v>
                </c:pt>
                <c:pt idx="101">
                  <c:v>4.1704781011947308E-2</c:v>
                </c:pt>
                <c:pt idx="102">
                  <c:v>4.2255333636788503E-2</c:v>
                </c:pt>
                <c:pt idx="103">
                  <c:v>4.2805886261629698E-2</c:v>
                </c:pt>
                <c:pt idx="104">
                  <c:v>4.3356438886470901E-2</c:v>
                </c:pt>
                <c:pt idx="105">
                  <c:v>4.3906991511312096E-2</c:v>
                </c:pt>
                <c:pt idx="106">
                  <c:v>4.4457544136153285E-2</c:v>
                </c:pt>
                <c:pt idx="107">
                  <c:v>4.5008096760994487E-2</c:v>
                </c:pt>
                <c:pt idx="108">
                  <c:v>4.5558649385835683E-2</c:v>
                </c:pt>
                <c:pt idx="109">
                  <c:v>4.6109202010676878E-2</c:v>
                </c:pt>
                <c:pt idx="110">
                  <c:v>4.6659754635518066E-2</c:v>
                </c:pt>
                <c:pt idx="111">
                  <c:v>4.7210307260359269E-2</c:v>
                </c:pt>
                <c:pt idx="112">
                  <c:v>4.7760859885200471E-2</c:v>
                </c:pt>
                <c:pt idx="113">
                  <c:v>4.831141251004166E-2</c:v>
                </c:pt>
                <c:pt idx="114">
                  <c:v>4.8861965134882855E-2</c:v>
                </c:pt>
                <c:pt idx="115">
                  <c:v>4.9412517759724051E-2</c:v>
                </c:pt>
                <c:pt idx="116">
                  <c:v>4.9963070384565253E-2</c:v>
                </c:pt>
                <c:pt idx="117">
                  <c:v>5.0513623009406441E-2</c:v>
                </c:pt>
                <c:pt idx="118">
                  <c:v>5.1064175634247637E-2</c:v>
                </c:pt>
                <c:pt idx="119">
                  <c:v>5.1614728259088832E-2</c:v>
                </c:pt>
                <c:pt idx="120">
                  <c:v>5.2165280883930035E-2</c:v>
                </c:pt>
                <c:pt idx="121">
                  <c:v>5.271583350877123E-2</c:v>
                </c:pt>
                <c:pt idx="122">
                  <c:v>5.3266386133612419E-2</c:v>
                </c:pt>
                <c:pt idx="123">
                  <c:v>5.3816938758453614E-2</c:v>
                </c:pt>
                <c:pt idx="124">
                  <c:v>5.436749138329481E-2</c:v>
                </c:pt>
                <c:pt idx="125">
                  <c:v>5.4918044008135998E-2</c:v>
                </c:pt>
                <c:pt idx="126">
                  <c:v>5.5468596632977187E-2</c:v>
                </c:pt>
                <c:pt idx="127">
                  <c:v>5.6019149257818396E-2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F-AA45-B261-F0DAD7B70C18}"/>
            </c:ext>
          </c:extLst>
        </c:ser>
        <c:ser>
          <c:idx val="2"/>
          <c:order val="2"/>
          <c:tx>
            <c:v>ORP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'Q3,Q4,Q5,Q7'!$BE$230</c:f>
              <c:numCache>
                <c:formatCode>0.00%</c:formatCode>
                <c:ptCount val="1"/>
                <c:pt idx="0">
                  <c:v>7.7111761328710393E-2</c:v>
                </c:pt>
              </c:numCache>
            </c:numRef>
          </c:xVal>
          <c:yVal>
            <c:numRef>
              <c:f>'Q3,Q4,Q5,Q7'!$BF$230</c:f>
              <c:numCache>
                <c:formatCode>0.00%</c:formatCode>
                <c:ptCount val="1"/>
                <c:pt idx="0">
                  <c:v>3.0143175890282266E-2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3F-AA45-B261-F0DAD7B70C18}"/>
            </c:ext>
          </c:extLst>
        </c:ser>
        <c:ser>
          <c:idx val="3"/>
          <c:order val="3"/>
          <c:tx>
            <c:v>ORIG Portfolio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'Q3,Q4,Q5,Q7'!$BE$226</c:f>
              <c:numCache>
                <c:formatCode>0.00%</c:formatCode>
                <c:ptCount val="1"/>
                <c:pt idx="0">
                  <c:v>5.3968239065203684E-2</c:v>
                </c:pt>
              </c:numCache>
            </c:numRef>
          </c:xVal>
          <c:yVal>
            <c:numRef>
              <c:f>'Q3,Q4,Q5,Q7'!$BF$226</c:f>
              <c:numCache>
                <c:formatCode>0.00%</c:formatCode>
                <c:ptCount val="1"/>
                <c:pt idx="0">
                  <c:v>1.1143211146830511E-2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F-AA45-B261-F0DAD7B70C18}"/>
            </c:ext>
          </c:extLst>
        </c:ser>
        <c:ser>
          <c:idx val="4"/>
          <c:order val="4"/>
          <c:tx>
            <c:v>Risk Free rate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'Q3,Q4,Q5,Q7'!$BE$231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'Q3,Q4,Q5,Q7'!$BF$231</c:f>
              <c:numCache>
                <c:formatCode>0.00%</c:formatCode>
                <c:ptCount val="1"/>
                <c:pt idx="0">
                  <c:v>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3F-AA45-B261-F0DAD7B70C18}"/>
            </c:ext>
          </c:extLst>
        </c:ser>
        <c:ser>
          <c:idx val="5"/>
          <c:order val="5"/>
          <c:tx>
            <c:v>EPORT1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'Q3,Q4,Q5,Q7'!$BE$228</c:f>
              <c:numCache>
                <c:formatCode>0.00%</c:formatCode>
                <c:ptCount val="1"/>
                <c:pt idx="0">
                  <c:v>3.6032490198326751E-2</c:v>
                </c:pt>
              </c:numCache>
            </c:numRef>
          </c:xVal>
          <c:yVal>
            <c:numRef>
              <c:f>'Q3,Q4,Q5,Q7'!$BF$228</c:f>
              <c:numCache>
                <c:formatCode>0.00%</c:formatCode>
                <c:ptCount val="1"/>
                <c:pt idx="0">
                  <c:v>1.1143211146830511E-2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3F-AA45-B261-F0DAD7B70C18}"/>
            </c:ext>
          </c:extLst>
        </c:ser>
        <c:ser>
          <c:idx val="6"/>
          <c:order val="6"/>
          <c:tx>
            <c:v>GMV Port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'Q3,Q4,Q5,Q7'!$BE$227</c:f>
              <c:numCache>
                <c:formatCode>0.00%</c:formatCode>
                <c:ptCount val="1"/>
                <c:pt idx="0">
                  <c:v>3.4772521631947065E-2</c:v>
                </c:pt>
              </c:numCache>
            </c:numRef>
          </c:xVal>
          <c:yVal>
            <c:numRef>
              <c:f>'Q3,Q4,Q5,Q7'!$BF$227</c:f>
              <c:numCache>
                <c:formatCode>0.00%</c:formatCode>
                <c:ptCount val="1"/>
                <c:pt idx="0">
                  <c:v>8.1210708966344483E-3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3F-AA45-B261-F0DAD7B70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51455"/>
        <c:axId val="1270152479"/>
      </c:scatterChart>
      <c:valAx>
        <c:axId val="2475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2060"/>
                    </a:solidFill>
                  </a:rPr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152479"/>
        <c:crosses val="autoZero"/>
        <c:crossBetween val="midCat"/>
      </c:valAx>
      <c:valAx>
        <c:axId val="12701524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02060"/>
                    </a:solidFill>
                  </a:rPr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17982</xdr:colOff>
      <xdr:row>23</xdr:row>
      <xdr:rowOff>184993</xdr:rowOff>
    </xdr:from>
    <xdr:to>
      <xdr:col>65</xdr:col>
      <xdr:colOff>584425</xdr:colOff>
      <xdr:row>46</xdr:row>
      <xdr:rowOff>146106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5E6E58-E071-CEB6-D5CA-B999DE117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232758</xdr:colOff>
      <xdr:row>33</xdr:row>
      <xdr:rowOff>5506</xdr:rowOff>
    </xdr:from>
    <xdr:to>
      <xdr:col>62</xdr:col>
      <xdr:colOff>54959</xdr:colOff>
      <xdr:row>33</xdr:row>
      <xdr:rowOff>183868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FD52D3-43EA-8A42-8BE8-A63695DE6141}"/>
            </a:ext>
          </a:extLst>
        </xdr:cNvPr>
        <xdr:cNvSpPr txBox="1"/>
      </xdr:nvSpPr>
      <xdr:spPr>
        <a:xfrm>
          <a:off x="48672581" y="6310550"/>
          <a:ext cx="496537" cy="178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>
              <a:solidFill>
                <a:srgbClr val="002060"/>
              </a:solidFill>
            </a:rPr>
            <a:t>ORP</a:t>
          </a:r>
        </a:p>
      </xdr:txBody>
    </xdr:sp>
    <xdr:clientData/>
  </xdr:twoCellAnchor>
  <xdr:twoCellAnchor>
    <xdr:from>
      <xdr:col>60</xdr:col>
      <xdr:colOff>576220</xdr:colOff>
      <xdr:row>37</xdr:row>
      <xdr:rowOff>135428</xdr:rowOff>
    </xdr:from>
    <xdr:to>
      <xdr:col>62</xdr:col>
      <xdr:colOff>516992</xdr:colOff>
      <xdr:row>38</xdr:row>
      <xdr:rowOff>179822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8C18A78-4777-6747-AC87-40841458C4C0}"/>
            </a:ext>
          </a:extLst>
        </xdr:cNvPr>
        <xdr:cNvSpPr txBox="1"/>
      </xdr:nvSpPr>
      <xdr:spPr>
        <a:xfrm>
          <a:off x="48341707" y="7204720"/>
          <a:ext cx="1289444" cy="235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>
              <a:solidFill>
                <a:srgbClr val="002060"/>
              </a:solidFill>
            </a:rPr>
            <a:t>Original</a:t>
          </a:r>
          <a:r>
            <a:rPr lang="en-US" sz="1100" b="1" kern="1200" baseline="0">
              <a:solidFill>
                <a:srgbClr val="002060"/>
              </a:solidFill>
            </a:rPr>
            <a:t> Portfolio</a:t>
          </a:r>
          <a:endParaRPr lang="en-US" sz="1100" b="1" kern="1200">
            <a:solidFill>
              <a:srgbClr val="002060"/>
            </a:solidFill>
          </a:endParaRPr>
        </a:p>
      </xdr:txBody>
    </xdr:sp>
    <xdr:clientData/>
  </xdr:twoCellAnchor>
  <xdr:twoCellAnchor>
    <xdr:from>
      <xdr:col>58</xdr:col>
      <xdr:colOff>553743</xdr:colOff>
      <xdr:row>39</xdr:row>
      <xdr:rowOff>56755</xdr:rowOff>
    </xdr:from>
    <xdr:to>
      <xdr:col>59</xdr:col>
      <xdr:colOff>258496</xdr:colOff>
      <xdr:row>40</xdr:row>
      <xdr:rowOff>67433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D63FBE-900E-6F4F-8B81-1C0CB2491D6E}"/>
            </a:ext>
          </a:extLst>
        </xdr:cNvPr>
        <xdr:cNvSpPr txBox="1"/>
      </xdr:nvSpPr>
      <xdr:spPr>
        <a:xfrm>
          <a:off x="46734539" y="7508171"/>
          <a:ext cx="379090" cy="201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>
              <a:solidFill>
                <a:srgbClr val="002060"/>
              </a:solidFill>
            </a:rPr>
            <a:t>RF</a:t>
          </a:r>
        </a:p>
      </xdr:txBody>
    </xdr:sp>
    <xdr:clientData/>
  </xdr:twoCellAnchor>
  <xdr:twoCellAnchor>
    <xdr:from>
      <xdr:col>60</xdr:col>
      <xdr:colOff>76763</xdr:colOff>
      <xdr:row>37</xdr:row>
      <xdr:rowOff>29333</xdr:rowOff>
    </xdr:from>
    <xdr:to>
      <xdr:col>62</xdr:col>
      <xdr:colOff>22479</xdr:colOff>
      <xdr:row>38</xdr:row>
      <xdr:rowOff>101149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683EF9E-6BFF-B74F-A81B-B4F012F7E344}"/>
            </a:ext>
          </a:extLst>
        </xdr:cNvPr>
        <xdr:cNvSpPr txBox="1"/>
      </xdr:nvSpPr>
      <xdr:spPr>
        <a:xfrm>
          <a:off x="47842250" y="7098625"/>
          <a:ext cx="1294388" cy="262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>
              <a:solidFill>
                <a:srgbClr val="002060"/>
              </a:solidFill>
            </a:rPr>
            <a:t>Efficient Portfolio</a:t>
          </a:r>
        </a:p>
      </xdr:txBody>
    </xdr:sp>
    <xdr:clientData/>
  </xdr:twoCellAnchor>
  <xdr:twoCellAnchor>
    <xdr:from>
      <xdr:col>60</xdr:col>
      <xdr:colOff>89910</xdr:colOff>
      <xdr:row>38</xdr:row>
      <xdr:rowOff>103061</xdr:rowOff>
    </xdr:from>
    <xdr:to>
      <xdr:col>61</xdr:col>
      <xdr:colOff>574533</xdr:colOff>
      <xdr:row>39</xdr:row>
      <xdr:rowOff>134867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0208E90-B258-DD45-9344-DF6490AC8F8E}"/>
            </a:ext>
          </a:extLst>
        </xdr:cNvPr>
        <xdr:cNvSpPr txBox="1"/>
      </xdr:nvSpPr>
      <xdr:spPr>
        <a:xfrm>
          <a:off x="47855397" y="7363415"/>
          <a:ext cx="1158959" cy="222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kern="1200">
              <a:solidFill>
                <a:srgbClr val="002060"/>
              </a:solidFill>
            </a:rPr>
            <a:t>GMV Portfolio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6"/>
  <sheetViews>
    <sheetView topLeftCell="H1" workbookViewId="0">
      <selection activeCell="W21" sqref="W21"/>
    </sheetView>
  </sheetViews>
  <sheetFormatPr baseColWidth="10" defaultColWidth="8.83203125" defaultRowHeight="15" x14ac:dyDescent="0.2"/>
  <cols>
    <col min="1" max="1" width="17.6640625" bestFit="1" customWidth="1"/>
    <col min="17" max="17" width="22.83203125" bestFit="1" customWidth="1"/>
    <col min="18" max="18" width="20.33203125" bestFit="1" customWidth="1"/>
    <col min="19" max="19" width="23.1640625" bestFit="1" customWidth="1"/>
  </cols>
  <sheetData>
    <row r="1" spans="1:21" x14ac:dyDescent="0.2">
      <c r="A1" s="60" t="s">
        <v>161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Q1" s="61" t="s">
        <v>170</v>
      </c>
      <c r="R1" s="61"/>
      <c r="S1" s="61"/>
      <c r="T1" s="61"/>
      <c r="U1" s="61"/>
    </row>
    <row r="2" spans="1:21" x14ac:dyDescent="0.2">
      <c r="A2" s="1" t="s">
        <v>18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21" x14ac:dyDescent="0.2">
      <c r="A3" s="2">
        <v>43313</v>
      </c>
      <c r="B3">
        <v>-7.7011256301212638E-3</v>
      </c>
      <c r="C3">
        <v>1.485779284217092E-2</v>
      </c>
      <c r="D3">
        <v>-3.4751352644136868E-2</v>
      </c>
      <c r="E3">
        <v>1.3595545079883919E-2</v>
      </c>
      <c r="F3">
        <v>2.3405278878423359E-3</v>
      </c>
      <c r="G3">
        <v>6.5989949649564172E-2</v>
      </c>
      <c r="H3">
        <v>3.9200789709519226E-3</v>
      </c>
      <c r="I3">
        <v>2.4205573456840709E-2</v>
      </c>
      <c r="J3">
        <v>1.288140311484787E-2</v>
      </c>
      <c r="K3">
        <v>4.3292341322602963E-2</v>
      </c>
      <c r="L3">
        <v>5.1046993804164442E-2</v>
      </c>
      <c r="Q3" s="3" t="s">
        <v>19</v>
      </c>
      <c r="T3" s="4" t="s">
        <v>21</v>
      </c>
      <c r="U3" s="4" t="s">
        <v>22</v>
      </c>
    </row>
    <row r="4" spans="1:21" x14ac:dyDescent="0.2">
      <c r="A4" s="2">
        <v>43344</v>
      </c>
      <c r="B4">
        <v>-2.2608583024866239E-2</v>
      </c>
      <c r="C4">
        <v>-3.660088226023261E-3</v>
      </c>
      <c r="D4">
        <v>1.7463903591059319E-2</v>
      </c>
      <c r="E4">
        <v>-2.6473539010366091E-2</v>
      </c>
      <c r="F4">
        <v>1.6861152192347181E-2</v>
      </c>
      <c r="G4">
        <v>-3.5715496719252999E-3</v>
      </c>
      <c r="H4">
        <v>2.789182753093256E-3</v>
      </c>
      <c r="I4">
        <v>-3.6632028675961943E-2</v>
      </c>
      <c r="J4">
        <v>-1.5335503990757889E-2</v>
      </c>
      <c r="K4">
        <v>2.5544491546348299E-2</v>
      </c>
      <c r="L4">
        <v>2.30865496972199E-3</v>
      </c>
      <c r="T4" s="5" t="s">
        <v>3</v>
      </c>
      <c r="U4" s="11">
        <v>0.14000000000000001</v>
      </c>
    </row>
    <row r="5" spans="1:21" x14ac:dyDescent="0.2">
      <c r="A5" s="2">
        <v>43374</v>
      </c>
      <c r="B5">
        <v>-8.7510321573396777E-2</v>
      </c>
      <c r="C5">
        <v>-5.7864877102145829E-2</v>
      </c>
      <c r="D5">
        <v>-0.1071849151644855</v>
      </c>
      <c r="E5">
        <v>-4.2908347177381463E-2</v>
      </c>
      <c r="F5">
        <v>-0.10436753612339331</v>
      </c>
      <c r="G5">
        <v>-7.6928137746950176E-2</v>
      </c>
      <c r="H5">
        <v>2.7230688925762529E-2</v>
      </c>
      <c r="I5">
        <v>-5.5563841323963406E-3</v>
      </c>
      <c r="J5">
        <v>2.8920788141423511E-2</v>
      </c>
      <c r="K5">
        <v>-6.4153703302932463E-2</v>
      </c>
      <c r="L5">
        <v>-9.8319713078910964E-2</v>
      </c>
      <c r="Q5" s="1" t="s">
        <v>14</v>
      </c>
      <c r="R5" s="1" t="s">
        <v>15</v>
      </c>
      <c r="T5" s="5" t="s">
        <v>4</v>
      </c>
      <c r="U5" s="11">
        <v>0.11</v>
      </c>
    </row>
    <row r="6" spans="1:21" x14ac:dyDescent="0.2">
      <c r="A6" s="2">
        <v>43405</v>
      </c>
      <c r="B6">
        <v>3.8015550036958778E-2</v>
      </c>
      <c r="C6">
        <v>-2.23717931434626E-2</v>
      </c>
      <c r="D6">
        <v>-1.5634630252041041E-2</v>
      </c>
      <c r="E6">
        <v>2.62558952541414E-2</v>
      </c>
      <c r="F6">
        <v>3.8065177938303441E-2</v>
      </c>
      <c r="G6">
        <v>-1.9624950743346799E-2</v>
      </c>
      <c r="H6">
        <v>2.2723115248092011E-2</v>
      </c>
      <c r="I6">
        <v>5.484537717731075E-2</v>
      </c>
      <c r="J6">
        <v>3.5388229704043317E-2</v>
      </c>
      <c r="K6">
        <v>8.0834390499586517E-2</v>
      </c>
      <c r="L6">
        <v>2.476763055533682E-2</v>
      </c>
      <c r="Q6" s="5" t="s">
        <v>16</v>
      </c>
      <c r="R6" s="5">
        <v>1.114321072532194E-2</v>
      </c>
      <c r="T6" s="5" t="s">
        <v>5</v>
      </c>
      <c r="U6" s="11">
        <v>0.05</v>
      </c>
    </row>
    <row r="7" spans="1:21" x14ac:dyDescent="0.2">
      <c r="A7" s="2">
        <v>43435</v>
      </c>
      <c r="B7">
        <v>-7.4894812432960922E-2</v>
      </c>
      <c r="C7">
        <v>-8.287051993888217E-2</v>
      </c>
      <c r="D7">
        <v>-0.1325063753951331</v>
      </c>
      <c r="E7">
        <v>-0.116796542101453</v>
      </c>
      <c r="F7">
        <v>-0.1120759740697207</v>
      </c>
      <c r="G7">
        <v>-8.7724495320135487E-2</v>
      </c>
      <c r="H7">
        <v>-9.7404821033344358E-2</v>
      </c>
      <c r="I7">
        <v>-8.4194648330381372E-2</v>
      </c>
      <c r="J7">
        <v>-4.8030201460678157E-2</v>
      </c>
      <c r="K7">
        <v>-9.7632208620379912E-2</v>
      </c>
      <c r="L7">
        <v>-8.3155808076969207E-2</v>
      </c>
      <c r="Q7" s="5" t="s">
        <v>2</v>
      </c>
      <c r="R7" s="5">
        <v>5.3968243597878503E-2</v>
      </c>
      <c r="T7" s="5" t="s">
        <v>6</v>
      </c>
      <c r="U7" s="11">
        <v>0.14000000000000001</v>
      </c>
    </row>
    <row r="8" spans="1:21" x14ac:dyDescent="0.2">
      <c r="A8" s="2">
        <v>43466</v>
      </c>
      <c r="B8">
        <v>6.2886608508420316E-2</v>
      </c>
      <c r="C8">
        <v>0.1211288017811387</v>
      </c>
      <c r="D8">
        <v>0.1225215512372009</v>
      </c>
      <c r="E8">
        <v>9.5790983358886583E-2</v>
      </c>
      <c r="F8">
        <v>0.1211521090095271</v>
      </c>
      <c r="G8">
        <v>7.4018738965980102E-2</v>
      </c>
      <c r="H8">
        <v>6.101924974232098E-2</v>
      </c>
      <c r="I8">
        <v>0.1204202966977117</v>
      </c>
      <c r="J8">
        <v>4.3558356894708661E-2</v>
      </c>
      <c r="K8">
        <v>5.2844117434715399E-2</v>
      </c>
      <c r="L8">
        <v>0.1029827629947306</v>
      </c>
      <c r="Q8" s="5" t="s">
        <v>17</v>
      </c>
      <c r="R8" s="5">
        <v>0.16015364127324891</v>
      </c>
      <c r="T8" s="5" t="s">
        <v>7</v>
      </c>
      <c r="U8" s="11">
        <v>0.09</v>
      </c>
    </row>
    <row r="9" spans="1:21" x14ac:dyDescent="0.2">
      <c r="A9" s="2">
        <v>43497</v>
      </c>
      <c r="B9">
        <v>3.1865061762713642E-2</v>
      </c>
      <c r="C9">
        <v>-4.5525202711117494E-3</v>
      </c>
      <c r="D9">
        <v>2.3047740513476581E-2</v>
      </c>
      <c r="E9">
        <v>2.2359214273955489E-2</v>
      </c>
      <c r="F9">
        <v>6.3675420180387299E-2</v>
      </c>
      <c r="G9">
        <v>6.9100975542180754E-2</v>
      </c>
      <c r="H9">
        <v>1.7793512924672239E-2</v>
      </c>
      <c r="I9">
        <v>1.106885954317316E-2</v>
      </c>
      <c r="J9">
        <v>4.1088329479446628E-2</v>
      </c>
      <c r="K9">
        <v>1.080865653845176E-2</v>
      </c>
      <c r="L9">
        <v>1.3145902103569361E-2</v>
      </c>
      <c r="T9" s="5" t="s">
        <v>8</v>
      </c>
      <c r="U9" s="11">
        <v>0.12</v>
      </c>
    </row>
    <row r="10" spans="1:21" x14ac:dyDescent="0.2">
      <c r="A10" s="2">
        <v>43525</v>
      </c>
      <c r="B10">
        <v>8.1742909722253287E-3</v>
      </c>
      <c r="C10">
        <v>1.8510669363587699E-2</v>
      </c>
      <c r="D10">
        <v>1.3333493814232881E-2</v>
      </c>
      <c r="E10">
        <v>-3.054323051036489E-2</v>
      </c>
      <c r="F10">
        <v>-1.7160100178597371E-2</v>
      </c>
      <c r="G10">
        <v>4.4312478112029208E-2</v>
      </c>
      <c r="H10">
        <v>3.2572853708405347E-2</v>
      </c>
      <c r="I10">
        <v>4.3503422573114132E-2</v>
      </c>
      <c r="J10">
        <v>2.034739776756234E-2</v>
      </c>
      <c r="K10">
        <v>1.091036809020673E-3</v>
      </c>
      <c r="L10">
        <v>3.3027992332669953E-2</v>
      </c>
      <c r="R10" s="38"/>
      <c r="T10" s="5" t="s">
        <v>9</v>
      </c>
      <c r="U10" s="11">
        <v>0.05</v>
      </c>
    </row>
    <row r="11" spans="1:21" x14ac:dyDescent="0.2">
      <c r="A11" s="2">
        <v>43556</v>
      </c>
      <c r="B11">
        <v>3.9606525727794002E-2</v>
      </c>
      <c r="C11">
        <v>7.2446028118760664E-2</v>
      </c>
      <c r="D11">
        <v>7.6904276427494089E-3</v>
      </c>
      <c r="E11">
        <v>9.5412297693714621E-2</v>
      </c>
      <c r="F11">
        <v>4.571072830076317E-2</v>
      </c>
      <c r="G11">
        <v>6.7085205317106933E-2</v>
      </c>
      <c r="H11">
        <v>3.4150233682315179E-2</v>
      </c>
      <c r="I11">
        <v>4.5372281669897602E-4</v>
      </c>
      <c r="J11">
        <v>1.6768310310933291E-2</v>
      </c>
      <c r="K11">
        <v>-2.3516227544070008E-2</v>
      </c>
      <c r="L11">
        <v>5.8231714543565349E-2</v>
      </c>
      <c r="R11" s="38"/>
      <c r="T11" s="5" t="s">
        <v>10</v>
      </c>
      <c r="U11" s="11">
        <v>0.15</v>
      </c>
    </row>
    <row r="12" spans="1:21" x14ac:dyDescent="0.2">
      <c r="A12" s="2">
        <v>43586</v>
      </c>
      <c r="B12">
        <v>-8.1810385984451894E-2</v>
      </c>
      <c r="C12">
        <v>-5.9516567993643348E-2</v>
      </c>
      <c r="D12">
        <v>-0.1110268975165217</v>
      </c>
      <c r="E12">
        <v>-7.173468007107453E-2</v>
      </c>
      <c r="F12">
        <v>-7.6400507895500569E-2</v>
      </c>
      <c r="G12">
        <v>-8.6647330118483912E-2</v>
      </c>
      <c r="H12">
        <v>-3.6388845276537518E-2</v>
      </c>
      <c r="I12">
        <v>1.221222105745623E-2</v>
      </c>
      <c r="J12">
        <v>-7.8350168339748061E-3</v>
      </c>
      <c r="K12">
        <v>-2.2182522182897849E-2</v>
      </c>
      <c r="L12">
        <v>-7.603872107147347E-2</v>
      </c>
      <c r="T12" s="5" t="s">
        <v>11</v>
      </c>
      <c r="U12" s="11">
        <v>0.03</v>
      </c>
    </row>
    <row r="13" spans="1:21" x14ac:dyDescent="0.2">
      <c r="A13" s="2">
        <v>43617</v>
      </c>
      <c r="B13">
        <v>0.109004818370636</v>
      </c>
      <c r="C13">
        <v>4.5232303613059077E-2</v>
      </c>
      <c r="D13">
        <v>8.4056532017207308E-2</v>
      </c>
      <c r="E13">
        <v>6.1130560249705201E-2</v>
      </c>
      <c r="F13">
        <v>7.4531810842519697E-2</v>
      </c>
      <c r="G13">
        <v>8.5547542610633576E-2</v>
      </c>
      <c r="H13">
        <v>4.423666286303396E-2</v>
      </c>
      <c r="I13">
        <v>8.2258475478682591E-3</v>
      </c>
      <c r="J13">
        <v>2.3691057179378468E-2</v>
      </c>
      <c r="K13">
        <v>6.1411791641760687E-2</v>
      </c>
      <c r="L13">
        <v>7.4454649283600904E-2</v>
      </c>
      <c r="T13" s="5" t="s">
        <v>12</v>
      </c>
      <c r="U13" s="11">
        <v>0.04</v>
      </c>
    </row>
    <row r="14" spans="1:21" x14ac:dyDescent="0.2">
      <c r="A14" s="2">
        <v>43647</v>
      </c>
      <c r="B14">
        <v>3.2292513719518472E-3</v>
      </c>
      <c r="C14">
        <v>3.4169452594764893E-2</v>
      </c>
      <c r="D14">
        <v>-6.8701775959529856E-3</v>
      </c>
      <c r="E14">
        <v>2.876586788585711E-2</v>
      </c>
      <c r="F14">
        <v>9.5378301425614875E-3</v>
      </c>
      <c r="G14">
        <v>3.8638851762605057E-2</v>
      </c>
      <c r="H14">
        <v>3.1220216646027369E-2</v>
      </c>
      <c r="I14">
        <v>2.547598902143822E-2</v>
      </c>
      <c r="J14">
        <v>6.630461501967666E-3</v>
      </c>
      <c r="K14">
        <v>-1.19942308979929E-2</v>
      </c>
      <c r="L14">
        <v>1.6243134146263442E-2</v>
      </c>
      <c r="T14" s="5" t="s">
        <v>13</v>
      </c>
      <c r="U14" s="11">
        <v>0.08</v>
      </c>
    </row>
    <row r="15" spans="1:21" x14ac:dyDescent="0.2">
      <c r="A15" s="2">
        <v>43678</v>
      </c>
      <c r="B15">
        <v>-2.8282560611957549E-2</v>
      </c>
      <c r="C15">
        <v>-2.4616019233485661E-2</v>
      </c>
      <c r="D15">
        <v>-8.3253623495039286E-2</v>
      </c>
      <c r="E15">
        <v>-4.7079616470897423E-2</v>
      </c>
      <c r="F15">
        <v>-2.647134726483236E-2</v>
      </c>
      <c r="G15">
        <v>-1.5352222851279129E-2</v>
      </c>
      <c r="H15">
        <v>2.170617984064949E-2</v>
      </c>
      <c r="I15">
        <v>4.811587244593718E-2</v>
      </c>
      <c r="J15">
        <v>5.0881541563577048E-2</v>
      </c>
      <c r="K15">
        <v>-5.9249483946949288E-3</v>
      </c>
      <c r="L15">
        <v>-9.4431004289715625E-3</v>
      </c>
    </row>
    <row r="16" spans="1:21" x14ac:dyDescent="0.2">
      <c r="A16" s="2">
        <v>43709</v>
      </c>
      <c r="B16">
        <v>2.663610730729005E-2</v>
      </c>
      <c r="C16">
        <v>-2.0184444957249689E-4</v>
      </c>
      <c r="D16">
        <v>2.9923474587677971E-2</v>
      </c>
      <c r="E16">
        <v>4.011872783917636E-2</v>
      </c>
      <c r="F16">
        <v>2.4683033733398752E-2</v>
      </c>
      <c r="G16">
        <v>1.2573884379405429E-2</v>
      </c>
      <c r="H16">
        <v>1.1528356911619349E-2</v>
      </c>
      <c r="I16">
        <v>3.315414969916386E-3</v>
      </c>
      <c r="J16">
        <v>3.4515694372354799E-2</v>
      </c>
      <c r="K16">
        <v>-5.1876035897000516E-3</v>
      </c>
      <c r="L16">
        <v>9.3660615266697445E-3</v>
      </c>
      <c r="Q16" s="3" t="s">
        <v>20</v>
      </c>
    </row>
    <row r="17" spans="1:19" x14ac:dyDescent="0.2">
      <c r="A17" s="2">
        <v>43739</v>
      </c>
      <c r="B17">
        <v>4.8549612686192836E-3</v>
      </c>
      <c r="C17">
        <v>2.4597356572239711E-2</v>
      </c>
      <c r="D17">
        <v>-1.19915225291205E-2</v>
      </c>
      <c r="E17">
        <v>3.022569692628152E-2</v>
      </c>
      <c r="F17">
        <v>1.6695814442382991E-2</v>
      </c>
      <c r="G17">
        <v>4.2228620296805852E-2</v>
      </c>
      <c r="H17">
        <v>1.657971792076385E-3</v>
      </c>
      <c r="I17">
        <v>6.4383986883365107E-3</v>
      </c>
      <c r="J17">
        <v>1.065685780980985E-4</v>
      </c>
      <c r="K17">
        <v>5.562567388374573E-2</v>
      </c>
      <c r="L17">
        <v>4.5641782467438219E-3</v>
      </c>
    </row>
    <row r="18" spans="1:19" x14ac:dyDescent="0.2">
      <c r="A18" s="2">
        <v>43770</v>
      </c>
      <c r="B18">
        <v>3.1792482726273663E-2</v>
      </c>
      <c r="C18">
        <v>3.8324908797713109E-2</v>
      </c>
      <c r="D18">
        <v>1.6045484350240669E-2</v>
      </c>
      <c r="E18">
        <v>5.0522546580259453E-2</v>
      </c>
      <c r="F18">
        <v>4.4962656586510663E-2</v>
      </c>
      <c r="G18">
        <v>5.3663327087670083E-2</v>
      </c>
      <c r="H18">
        <v>1.373437067949523E-2</v>
      </c>
      <c r="I18">
        <v>-1.7289802607072909E-2</v>
      </c>
      <c r="J18">
        <v>-1.8677024223567758E-2</v>
      </c>
      <c r="K18">
        <v>5.0026133683396701E-2</v>
      </c>
      <c r="L18">
        <v>1.323957358506722E-2</v>
      </c>
    </row>
    <row r="19" spans="1:19" x14ac:dyDescent="0.2">
      <c r="A19" s="2">
        <v>43800</v>
      </c>
      <c r="B19">
        <v>2.298460756638487E-2</v>
      </c>
      <c r="C19">
        <v>2.035771805052566E-2</v>
      </c>
      <c r="D19">
        <v>1.952792806059556E-2</v>
      </c>
      <c r="E19">
        <v>2.0895629352397641E-2</v>
      </c>
      <c r="F19">
        <v>-6.9480706337672338E-3</v>
      </c>
      <c r="G19">
        <v>3.9813915537658888E-2</v>
      </c>
      <c r="H19">
        <v>1.5806447691701479E-2</v>
      </c>
      <c r="I19">
        <v>5.1746369898708622E-4</v>
      </c>
      <c r="J19">
        <v>2.4900922144998061E-2</v>
      </c>
      <c r="K19">
        <v>2.3821626165666299E-2</v>
      </c>
      <c r="L19">
        <v>2.4254621527240779E-2</v>
      </c>
      <c r="Q19" s="1" t="s">
        <v>0</v>
      </c>
      <c r="R19" s="1" t="s">
        <v>1</v>
      </c>
      <c r="S19" s="1" t="s">
        <v>2</v>
      </c>
    </row>
    <row r="20" spans="1:19" x14ac:dyDescent="0.2">
      <c r="A20" s="2">
        <v>43831</v>
      </c>
      <c r="B20">
        <v>-5.6533651528270279E-2</v>
      </c>
      <c r="C20">
        <v>7.4083770938808691E-3</v>
      </c>
      <c r="D20">
        <v>-7.4364731283432461E-2</v>
      </c>
      <c r="E20">
        <v>-2.1685615332337042E-2</v>
      </c>
      <c r="F20">
        <v>5.3040331204456947E-4</v>
      </c>
      <c r="G20">
        <v>4.331864975000177E-2</v>
      </c>
      <c r="H20">
        <v>1.1393148782445911E-2</v>
      </c>
      <c r="I20">
        <v>2.552275038097962E-2</v>
      </c>
      <c r="J20">
        <v>7.5808292923848386E-2</v>
      </c>
      <c r="K20">
        <v>-1.6311526665835911E-2</v>
      </c>
      <c r="L20">
        <v>2.4969828812286821E-3</v>
      </c>
      <c r="Q20" s="1" t="s">
        <v>3</v>
      </c>
      <c r="R20" s="59">
        <v>1.0105744420521111E-2</v>
      </c>
      <c r="S20" s="59">
        <v>6.2515709125480212E-2</v>
      </c>
    </row>
    <row r="21" spans="1:19" x14ac:dyDescent="0.2">
      <c r="A21" s="2">
        <v>43862</v>
      </c>
      <c r="B21">
        <v>-8.5198559903614579E-2</v>
      </c>
      <c r="C21">
        <v>-5.8430848099031867E-2</v>
      </c>
      <c r="D21">
        <v>-0.15288175735341039</v>
      </c>
      <c r="E21">
        <v>-0.11248329730881231</v>
      </c>
      <c r="F21">
        <v>-9.9001452471596529E-2</v>
      </c>
      <c r="G21">
        <v>-7.300967636700062E-2</v>
      </c>
      <c r="H21">
        <v>-8.2146234718886602E-2</v>
      </c>
      <c r="I21">
        <v>-6.2197248870962452E-2</v>
      </c>
      <c r="J21">
        <v>-9.8579417261644986E-2</v>
      </c>
      <c r="K21">
        <v>-6.586645036149763E-2</v>
      </c>
      <c r="L21">
        <v>-7.5726084763838575E-2</v>
      </c>
      <c r="Q21" s="1" t="s">
        <v>4</v>
      </c>
      <c r="R21" s="59">
        <v>1.0933104612066679E-2</v>
      </c>
      <c r="S21" s="59">
        <v>5.9031249530220029E-2</v>
      </c>
    </row>
    <row r="22" spans="1:19" x14ac:dyDescent="0.2">
      <c r="A22" s="2">
        <v>43891</v>
      </c>
      <c r="B22">
        <v>-0.1456753478886699</v>
      </c>
      <c r="C22">
        <v>-0.12844751751748931</v>
      </c>
      <c r="D22">
        <v>-0.35807378056912331</v>
      </c>
      <c r="E22">
        <v>-0.21699895218696011</v>
      </c>
      <c r="F22">
        <v>-0.1925287842814325</v>
      </c>
      <c r="G22">
        <v>-9.0528609668086957E-2</v>
      </c>
      <c r="H22">
        <v>-6.0700131760807352E-2</v>
      </c>
      <c r="I22">
        <v>-0.15737984719619441</v>
      </c>
      <c r="J22">
        <v>-0.10887739383301639</v>
      </c>
      <c r="K22">
        <v>-4.351560159146306E-2</v>
      </c>
      <c r="L22">
        <v>-0.15324165568693121</v>
      </c>
      <c r="Q22" s="1" t="s">
        <v>5</v>
      </c>
      <c r="R22" s="59">
        <v>1.093582825983081E-2</v>
      </c>
      <c r="S22" s="59">
        <v>0.1035291222785811</v>
      </c>
    </row>
    <row r="23" spans="1:19" x14ac:dyDescent="0.2">
      <c r="A23" s="2">
        <v>43922</v>
      </c>
      <c r="B23">
        <v>0.15956108517063969</v>
      </c>
      <c r="C23">
        <v>0.13973029813256879</v>
      </c>
      <c r="D23">
        <v>0.33690038550392282</v>
      </c>
      <c r="E23">
        <v>0.10390247162171851</v>
      </c>
      <c r="F23">
        <v>9.6569295607682681E-2</v>
      </c>
      <c r="G23">
        <v>0.14330379610636171</v>
      </c>
      <c r="H23">
        <v>7.5704850338765839E-2</v>
      </c>
      <c r="I23">
        <v>0.1023921297076322</v>
      </c>
      <c r="J23">
        <v>4.3732999909271493E-2</v>
      </c>
      <c r="K23">
        <v>0.1313389977188768</v>
      </c>
      <c r="L23">
        <v>0.19459338039894969</v>
      </c>
      <c r="Q23" s="1" t="s">
        <v>6</v>
      </c>
      <c r="R23" s="59">
        <v>1.034432162926481E-2</v>
      </c>
      <c r="S23" s="59">
        <v>6.5173173922493013E-2</v>
      </c>
    </row>
    <row r="24" spans="1:19" x14ac:dyDescent="0.2">
      <c r="A24" s="2">
        <v>43952</v>
      </c>
      <c r="B24">
        <v>6.8812898915924237E-2</v>
      </c>
      <c r="C24">
        <v>7.4383386058602508E-2</v>
      </c>
      <c r="D24">
        <v>1.9999933226921399E-2</v>
      </c>
      <c r="E24">
        <v>2.7205016803878879E-2</v>
      </c>
      <c r="F24">
        <v>5.3885608607502578E-2</v>
      </c>
      <c r="G24">
        <v>7.1764682003833125E-2</v>
      </c>
      <c r="H24">
        <v>1.6649642620394811E-2</v>
      </c>
      <c r="I24">
        <v>2.1521647366625759E-2</v>
      </c>
      <c r="J24">
        <v>4.2438312926339261E-2</v>
      </c>
      <c r="K24">
        <v>3.2888921423891881E-2</v>
      </c>
      <c r="L24">
        <v>6.5094673800807801E-2</v>
      </c>
      <c r="Q24" s="1" t="s">
        <v>7</v>
      </c>
      <c r="R24" s="59">
        <v>1.1084138421856E-2</v>
      </c>
      <c r="S24" s="59">
        <v>6.2806934907139844E-2</v>
      </c>
    </row>
    <row r="25" spans="1:19" x14ac:dyDescent="0.2">
      <c r="A25" s="2">
        <v>43983</v>
      </c>
      <c r="B25">
        <v>1.623078532836875E-2</v>
      </c>
      <c r="C25">
        <v>3.7030409634120082E-4</v>
      </c>
      <c r="D25">
        <v>-2.347799922133775E-2</v>
      </c>
      <c r="E25">
        <v>-1.1533725234206369E-2</v>
      </c>
      <c r="F25">
        <v>1.5220768451476021E-2</v>
      </c>
      <c r="G25">
        <v>6.6550828463016742E-2</v>
      </c>
      <c r="H25">
        <v>-9.9611170865756549E-3</v>
      </c>
      <c r="I25">
        <v>4.6176413357481572E-3</v>
      </c>
      <c r="J25">
        <v>-5.4615535890451088E-2</v>
      </c>
      <c r="K25">
        <v>-2.8540852463434518E-2</v>
      </c>
      <c r="L25">
        <v>2.8343342992707798E-2</v>
      </c>
      <c r="Q25" s="1" t="s">
        <v>8</v>
      </c>
      <c r="R25" s="59">
        <v>1.864834653040463E-2</v>
      </c>
      <c r="S25" s="59">
        <v>6.3997497445492796E-2</v>
      </c>
    </row>
    <row r="26" spans="1:19" x14ac:dyDescent="0.2">
      <c r="A26" s="2">
        <v>44013</v>
      </c>
      <c r="B26">
        <v>7.704796109123091E-2</v>
      </c>
      <c r="C26">
        <v>7.7858243153655415E-2</v>
      </c>
      <c r="D26">
        <v>-3.587767274050746E-2</v>
      </c>
      <c r="E26">
        <v>4.5085945482009171E-2</v>
      </c>
      <c r="F26">
        <v>4.8740536195578388E-2</v>
      </c>
      <c r="G26">
        <v>5.9760272647294783E-2</v>
      </c>
      <c r="H26">
        <v>7.7568160437492928E-2</v>
      </c>
      <c r="I26">
        <v>4.9671977865072048E-2</v>
      </c>
      <c r="J26">
        <v>8.6972186771774096E-2</v>
      </c>
      <c r="K26">
        <v>5.9029038962317808E-2</v>
      </c>
      <c r="L26">
        <v>7.5241477535765711E-2</v>
      </c>
      <c r="Q26" s="1" t="s">
        <v>9</v>
      </c>
      <c r="R26" s="59">
        <v>8.9652450389720046E-3</v>
      </c>
      <c r="S26" s="59">
        <v>4.0713192996518377E-2</v>
      </c>
    </row>
    <row r="27" spans="1:19" x14ac:dyDescent="0.2">
      <c r="A27" s="2">
        <v>44044</v>
      </c>
      <c r="B27">
        <v>4.3571821382530677E-2</v>
      </c>
      <c r="C27">
        <v>8.8250572704356989E-2</v>
      </c>
      <c r="D27">
        <v>-1.054673435496201E-2</v>
      </c>
      <c r="E27">
        <v>4.2863050087508243E-2</v>
      </c>
      <c r="F27">
        <v>8.4762196227474718E-2</v>
      </c>
      <c r="G27">
        <v>0.11880821958905501</v>
      </c>
      <c r="H27">
        <v>4.5932916821435972E-2</v>
      </c>
      <c r="I27">
        <v>-2.7581616897831562E-4</v>
      </c>
      <c r="J27">
        <v>-2.5973916215405349E-2</v>
      </c>
      <c r="K27">
        <v>2.5869521599587001E-2</v>
      </c>
      <c r="L27">
        <v>9.5547588210228351E-2</v>
      </c>
      <c r="Q27" s="1" t="s">
        <v>10</v>
      </c>
      <c r="R27" s="59">
        <v>8.542881739194836E-3</v>
      </c>
      <c r="S27" s="59">
        <v>5.8335891488874747E-2</v>
      </c>
    </row>
    <row r="28" spans="1:19" x14ac:dyDescent="0.2">
      <c r="A28" s="2">
        <v>44075</v>
      </c>
      <c r="B28">
        <v>1.0319117566065071E-2</v>
      </c>
      <c r="C28">
        <v>-6.1018075614998717E-2</v>
      </c>
      <c r="D28">
        <v>-0.1598876875592653</v>
      </c>
      <c r="E28">
        <v>-3.9505064632525899E-2</v>
      </c>
      <c r="F28">
        <v>-1.066682835985411E-2</v>
      </c>
      <c r="G28">
        <v>-5.5443040016137757E-2</v>
      </c>
      <c r="H28">
        <v>-2.256779850088431E-2</v>
      </c>
      <c r="I28">
        <v>-2.7034650842775901E-2</v>
      </c>
      <c r="J28">
        <v>2.194270396085551E-3</v>
      </c>
      <c r="K28">
        <v>-2.5679019818100949E-2</v>
      </c>
      <c r="L28">
        <v>-2.072084803870233E-2</v>
      </c>
      <c r="Q28" s="1" t="s">
        <v>11</v>
      </c>
      <c r="R28" s="59">
        <v>9.6173661431595506E-3</v>
      </c>
      <c r="S28" s="59">
        <v>4.9760908967344343E-2</v>
      </c>
    </row>
    <row r="29" spans="1:19" x14ac:dyDescent="0.2">
      <c r="A29" s="2">
        <v>44105</v>
      </c>
      <c r="B29">
        <v>-2.5535117535551159E-3</v>
      </c>
      <c r="C29">
        <v>-1.258736424796236E-3</v>
      </c>
      <c r="D29">
        <v>-2.529227676953472E-2</v>
      </c>
      <c r="E29">
        <v>-3.2722739306099151E-3</v>
      </c>
      <c r="F29">
        <v>-1.0588866923281761E-2</v>
      </c>
      <c r="G29">
        <v>-4.7938735854473169E-2</v>
      </c>
      <c r="H29">
        <v>-2.2921662112972311E-2</v>
      </c>
      <c r="I29">
        <v>-2.5926644931988711E-2</v>
      </c>
      <c r="J29">
        <v>5.9556691991914601E-2</v>
      </c>
      <c r="K29">
        <v>-3.2382866516765467E-2</v>
      </c>
      <c r="L29">
        <v>-2.520972130147359E-2</v>
      </c>
      <c r="Q29" s="1" t="s">
        <v>12</v>
      </c>
      <c r="R29" s="59">
        <v>9.8085943212217978E-3</v>
      </c>
      <c r="S29" s="59">
        <v>4.4361527893639952E-2</v>
      </c>
    </row>
    <row r="30" spans="1:19" x14ac:dyDescent="0.2">
      <c r="A30" s="2">
        <v>44136</v>
      </c>
      <c r="B30">
        <v>0.1236149929693449</v>
      </c>
      <c r="C30">
        <v>0.104729654571331</v>
      </c>
      <c r="D30">
        <v>0.27994437412109358</v>
      </c>
      <c r="E30">
        <v>0.16848259065664981</v>
      </c>
      <c r="F30">
        <v>0.1602739599989644</v>
      </c>
      <c r="G30">
        <v>0.11383728655063979</v>
      </c>
      <c r="H30">
        <v>7.4687165019005963E-2</v>
      </c>
      <c r="I30">
        <v>6.8813523687041522E-2</v>
      </c>
      <c r="J30">
        <v>7.3743155717904676E-3</v>
      </c>
      <c r="K30">
        <v>7.948041706279807E-2</v>
      </c>
      <c r="L30">
        <v>9.9951048071366788E-2</v>
      </c>
      <c r="Q30" s="1" t="s">
        <v>13</v>
      </c>
      <c r="R30" s="59">
        <v>1.106044058057451E-2</v>
      </c>
      <c r="S30" s="59">
        <v>6.834327165335842E-2</v>
      </c>
    </row>
    <row r="31" spans="1:19" x14ac:dyDescent="0.2">
      <c r="A31" s="2">
        <v>44166</v>
      </c>
      <c r="B31">
        <v>1.9721110785938741E-2</v>
      </c>
      <c r="C31">
        <v>3.1804688685385767E-2</v>
      </c>
      <c r="D31">
        <v>3.1012055987432511E-2</v>
      </c>
      <c r="E31">
        <v>5.7388750329378617E-2</v>
      </c>
      <c r="F31">
        <v>5.9071577446430101E-3</v>
      </c>
      <c r="G31">
        <v>5.2963999326570699E-2</v>
      </c>
      <c r="H31">
        <v>8.0701802611555795E-3</v>
      </c>
      <c r="I31">
        <v>1.6443026688546249E-3</v>
      </c>
      <c r="J31">
        <v>-2.2280709303730268E-3</v>
      </c>
      <c r="K31">
        <v>3.371604951330931E-2</v>
      </c>
      <c r="L31">
        <v>2.2383355202986181E-2</v>
      </c>
    </row>
    <row r="32" spans="1:19" x14ac:dyDescent="0.2">
      <c r="A32" s="2">
        <v>44197</v>
      </c>
      <c r="B32">
        <v>-1.9298971735595138E-2</v>
      </c>
      <c r="C32">
        <v>-7.3090147289195384E-3</v>
      </c>
      <c r="D32">
        <v>5.1342656595185332E-2</v>
      </c>
      <c r="E32">
        <v>-1.27108766410261E-2</v>
      </c>
      <c r="F32">
        <v>-3.8727728455547512E-2</v>
      </c>
      <c r="G32">
        <v>-6.0738388466101689E-3</v>
      </c>
      <c r="H32">
        <v>-4.1859446966678197E-2</v>
      </c>
      <c r="I32">
        <v>1.8494963481187069E-2</v>
      </c>
      <c r="J32">
        <v>-3.9503555905628929E-4</v>
      </c>
      <c r="K32">
        <v>1.819735445089754E-2</v>
      </c>
      <c r="L32">
        <v>9.5180891886448293E-3</v>
      </c>
    </row>
    <row r="33" spans="1:12" x14ac:dyDescent="0.2">
      <c r="A33" s="2">
        <v>44228</v>
      </c>
      <c r="B33">
        <v>4.1194811505392392E-2</v>
      </c>
      <c r="C33">
        <v>7.0125483269468214E-2</v>
      </c>
      <c r="D33">
        <v>0.2245676218487527</v>
      </c>
      <c r="E33">
        <v>0.11606216702785679</v>
      </c>
      <c r="F33">
        <v>6.8892446191245904E-2</v>
      </c>
      <c r="G33">
        <v>1.365108577859386E-2</v>
      </c>
      <c r="H33">
        <v>-1.2326322857839861E-2</v>
      </c>
      <c r="I33">
        <v>1.5777971668700101E-2</v>
      </c>
      <c r="J33">
        <v>-6.0981369683064453E-2</v>
      </c>
      <c r="K33">
        <v>-2.1038209216836301E-2</v>
      </c>
      <c r="L33">
        <v>-5.3084676613400772E-3</v>
      </c>
    </row>
    <row r="34" spans="1:12" x14ac:dyDescent="0.2">
      <c r="A34" s="2">
        <v>44256</v>
      </c>
      <c r="B34">
        <v>7.1380101572128485E-2</v>
      </c>
      <c r="C34">
        <v>2.4451681851059611E-2</v>
      </c>
      <c r="D34">
        <v>1.8899174645485409E-2</v>
      </c>
      <c r="E34">
        <v>5.3853325127146023E-2</v>
      </c>
      <c r="F34">
        <v>8.6524802574746928E-2</v>
      </c>
      <c r="G34">
        <v>1.6221268819982541E-2</v>
      </c>
      <c r="H34">
        <v>7.914682839904863E-2</v>
      </c>
      <c r="I34">
        <v>5.75791066620579E-2</v>
      </c>
      <c r="J34">
        <v>9.7326815422473345E-2</v>
      </c>
      <c r="K34">
        <v>3.6675307930267742E-2</v>
      </c>
      <c r="L34">
        <v>4.2941465147132929E-2</v>
      </c>
    </row>
    <row r="35" spans="1:12" x14ac:dyDescent="0.2">
      <c r="A35" s="2">
        <v>44287</v>
      </c>
      <c r="B35">
        <v>5.825714035967211E-2</v>
      </c>
      <c r="C35">
        <v>6.6392376281198873E-2</v>
      </c>
      <c r="D35">
        <v>1.7408024413490431E-2</v>
      </c>
      <c r="E35">
        <v>6.9624402326839308E-2</v>
      </c>
      <c r="F35">
        <v>3.8534201063777473E-2</v>
      </c>
      <c r="G35">
        <v>5.4099121983321563E-2</v>
      </c>
      <c r="H35">
        <v>2.4099363183665679E-2</v>
      </c>
      <c r="I35">
        <v>9.387302771693018E-2</v>
      </c>
      <c r="J35">
        <v>4.9628340598680383E-2</v>
      </c>
      <c r="K35">
        <v>4.2925312900121249E-2</v>
      </c>
      <c r="L35">
        <v>6.6247600748007285E-2</v>
      </c>
    </row>
    <row r="36" spans="1:12" x14ac:dyDescent="0.2">
      <c r="A36" s="2">
        <v>44317</v>
      </c>
      <c r="B36">
        <v>5.0818878098169977E-2</v>
      </c>
      <c r="C36">
        <v>9.4814690615698805E-3</v>
      </c>
      <c r="D36">
        <v>5.7096448564150082E-2</v>
      </c>
      <c r="E36">
        <v>4.7711057997267048E-2</v>
      </c>
      <c r="F36">
        <v>3.1296228815733462E-2</v>
      </c>
      <c r="G36">
        <v>-9.3056028153626347E-3</v>
      </c>
      <c r="H36">
        <v>1.7677649561268272E-2</v>
      </c>
      <c r="I36">
        <v>1.1456552261700731E-2</v>
      </c>
      <c r="J36">
        <v>-2.3381298746220081E-2</v>
      </c>
      <c r="K36">
        <v>1.8709297391055649E-2</v>
      </c>
      <c r="L36">
        <v>-3.3981816961742288E-2</v>
      </c>
    </row>
    <row r="37" spans="1:12" x14ac:dyDescent="0.2">
      <c r="A37" s="2">
        <v>44348</v>
      </c>
      <c r="B37">
        <v>-5.672700449182666E-2</v>
      </c>
      <c r="C37">
        <v>2.7668257466900489E-2</v>
      </c>
      <c r="D37">
        <v>3.1794648044366942E-2</v>
      </c>
      <c r="E37">
        <v>-3.4219531089353272E-2</v>
      </c>
      <c r="F37">
        <v>-2.5875317679334601E-2</v>
      </c>
      <c r="G37">
        <v>6.690746419364535E-2</v>
      </c>
      <c r="H37">
        <v>-1.18627808652142E-2</v>
      </c>
      <c r="I37">
        <v>2.4734490777744918E-2</v>
      </c>
      <c r="J37">
        <v>-2.961950285771375E-2</v>
      </c>
      <c r="K37">
        <v>1.9012941213202291E-2</v>
      </c>
      <c r="L37">
        <v>3.3036508654576517E-2</v>
      </c>
    </row>
    <row r="38" spans="1:12" x14ac:dyDescent="0.2">
      <c r="A38" s="2">
        <v>44378</v>
      </c>
      <c r="B38">
        <v>2.5206647032260939E-2</v>
      </c>
      <c r="C38">
        <v>1.9490272827016542E-2</v>
      </c>
      <c r="D38">
        <v>-7.3793238733490085E-2</v>
      </c>
      <c r="E38">
        <v>-6.9050072718701561E-4</v>
      </c>
      <c r="F38">
        <v>1.256700804080757E-2</v>
      </c>
      <c r="G38">
        <v>4.0777332394005938E-2</v>
      </c>
      <c r="H38">
        <v>2.8647857245997391E-2</v>
      </c>
      <c r="I38">
        <v>5.3013620335978777E-2</v>
      </c>
      <c r="J38">
        <v>5.1437041165165683E-2</v>
      </c>
      <c r="K38">
        <v>5.3320338123637789E-2</v>
      </c>
      <c r="L38">
        <v>1.2028011859420261E-2</v>
      </c>
    </row>
    <row r="39" spans="1:12" x14ac:dyDescent="0.2">
      <c r="A39" s="2">
        <v>44409</v>
      </c>
      <c r="B39">
        <v>1.8923649993952241E-2</v>
      </c>
      <c r="C39">
        <v>3.9077555648913583E-2</v>
      </c>
      <c r="D39">
        <v>-2.0044507100307581E-2</v>
      </c>
      <c r="E39">
        <v>5.147862604766873E-2</v>
      </c>
      <c r="F39">
        <v>1.1126215951058119E-2</v>
      </c>
      <c r="G39">
        <v>3.559333884361382E-2</v>
      </c>
      <c r="H39">
        <v>1.0488090622269519E-2</v>
      </c>
      <c r="I39">
        <v>2.80294456180008E-2</v>
      </c>
      <c r="J39">
        <v>3.8957178587112777E-2</v>
      </c>
      <c r="K39">
        <v>2.3155718267175551E-2</v>
      </c>
      <c r="L39">
        <v>1.7846348027107162E-2</v>
      </c>
    </row>
    <row r="40" spans="1:12" x14ac:dyDescent="0.2">
      <c r="A40" s="2">
        <v>44440</v>
      </c>
      <c r="B40">
        <v>-7.5925380316590574E-2</v>
      </c>
      <c r="C40">
        <v>-6.4354142448433072E-2</v>
      </c>
      <c r="D40">
        <v>7.6239691128979103E-2</v>
      </c>
      <c r="E40">
        <v>-2.2656336527659859E-2</v>
      </c>
      <c r="F40">
        <v>-6.3821940281745926E-2</v>
      </c>
      <c r="G40">
        <v>-6.0052710787628638E-2</v>
      </c>
      <c r="H40">
        <v>-4.7329117635935607E-2</v>
      </c>
      <c r="I40">
        <v>-6.774314733525344E-2</v>
      </c>
      <c r="J40">
        <v>-6.7989540250657732E-2</v>
      </c>
      <c r="K40">
        <v>-5.8501787119680682E-2</v>
      </c>
      <c r="L40">
        <v>-2.2869596953507879E-2</v>
      </c>
    </row>
    <row r="41" spans="1:12" x14ac:dyDescent="0.2">
      <c r="A41" s="2">
        <v>44470</v>
      </c>
      <c r="B41">
        <v>8.0673964442119495E-2</v>
      </c>
      <c r="C41">
        <v>4.0868192711152052E-3</v>
      </c>
      <c r="D41">
        <v>0.1166866025972839</v>
      </c>
      <c r="E41">
        <v>7.7386256200380865E-2</v>
      </c>
      <c r="F41">
        <v>7.1417569090985289E-2</v>
      </c>
      <c r="G41">
        <v>8.3673370590852558E-2</v>
      </c>
      <c r="H41">
        <v>4.1459669570040658E-2</v>
      </c>
      <c r="I41">
        <v>8.184221704075223E-2</v>
      </c>
      <c r="J41">
        <v>5.5363971958897862E-2</v>
      </c>
      <c r="K41">
        <v>5.492173391611832E-2</v>
      </c>
      <c r="L41">
        <v>0.122601741660098</v>
      </c>
    </row>
    <row r="42" spans="1:12" x14ac:dyDescent="0.2">
      <c r="A42" s="2">
        <v>44501</v>
      </c>
      <c r="B42">
        <v>-5.5216860875130216E-3</v>
      </c>
      <c r="C42">
        <v>-6.139479661205316E-2</v>
      </c>
      <c r="D42">
        <v>-5.011310715278483E-2</v>
      </c>
      <c r="E42">
        <v>-5.7128678167292717E-2</v>
      </c>
      <c r="F42">
        <v>-3.5601543439092609E-2</v>
      </c>
      <c r="G42">
        <v>4.4511814007033301E-2</v>
      </c>
      <c r="H42">
        <v>-1.347381494706446E-2</v>
      </c>
      <c r="I42">
        <v>-8.9921523323202024E-3</v>
      </c>
      <c r="J42">
        <v>-1.7038004008853799E-2</v>
      </c>
      <c r="K42">
        <v>-3.0563429132548281E-2</v>
      </c>
      <c r="L42">
        <v>1.6356360137710361E-2</v>
      </c>
    </row>
    <row r="43" spans="1:12" x14ac:dyDescent="0.2">
      <c r="A43" s="2">
        <v>44531</v>
      </c>
      <c r="B43">
        <v>7.0407530422196274E-2</v>
      </c>
      <c r="C43">
        <v>3.0648757589566641E-2</v>
      </c>
      <c r="D43">
        <v>1.6669701764231881E-2</v>
      </c>
      <c r="E43">
        <v>2.871446336945449E-2</v>
      </c>
      <c r="F43">
        <v>5.0015038370690768E-2</v>
      </c>
      <c r="G43">
        <v>3.0523790478613311E-2</v>
      </c>
      <c r="H43">
        <v>9.7026599290378712E-2</v>
      </c>
      <c r="I43">
        <v>9.3268893521039953E-2</v>
      </c>
      <c r="J43">
        <v>8.8338346160964365E-2</v>
      </c>
      <c r="K43">
        <v>8.6024836086648682E-2</v>
      </c>
      <c r="L43">
        <v>0</v>
      </c>
    </row>
    <row r="44" spans="1:12" x14ac:dyDescent="0.2">
      <c r="A44" s="2">
        <v>44562</v>
      </c>
      <c r="B44">
        <v>-6.3260363292619415E-2</v>
      </c>
      <c r="C44">
        <v>-4.605932420650638E-2</v>
      </c>
      <c r="D44">
        <v>0.20312714333862211</v>
      </c>
      <c r="E44">
        <v>5.0482496165271673E-3</v>
      </c>
      <c r="F44">
        <v>-4.432450161527024E-2</v>
      </c>
      <c r="G44">
        <v>-6.6679492392924922E-2</v>
      </c>
      <c r="H44">
        <v>-8.0303885756152216E-3</v>
      </c>
      <c r="I44">
        <v>-7.8451648893005599E-2</v>
      </c>
      <c r="J44">
        <v>-2.4946808796899589E-2</v>
      </c>
      <c r="K44">
        <v>-6.498482004970374E-2</v>
      </c>
      <c r="L44">
        <v>-9.3978878343896066E-2</v>
      </c>
    </row>
    <row r="45" spans="1:12" x14ac:dyDescent="0.2">
      <c r="A45" s="2">
        <v>44593</v>
      </c>
      <c r="B45">
        <v>-1.2670301055997091E-2</v>
      </c>
      <c r="C45">
        <v>-7.437458508689665E-2</v>
      </c>
      <c r="D45">
        <v>7.0691607786527833E-2</v>
      </c>
      <c r="E45">
        <v>-1.3824978081361849E-2</v>
      </c>
      <c r="F45">
        <v>-8.4373935169960168E-3</v>
      </c>
      <c r="G45">
        <v>-4.8774429776945898E-2</v>
      </c>
      <c r="H45">
        <v>-1.4084414322312999E-2</v>
      </c>
      <c r="I45">
        <v>-4.7950795204230623E-2</v>
      </c>
      <c r="J45">
        <v>-1.9061319852550329E-2</v>
      </c>
      <c r="K45">
        <v>-9.6773674617519623E-3</v>
      </c>
      <c r="L45">
        <v>-4.0659840014976467E-2</v>
      </c>
    </row>
    <row r="46" spans="1:12" x14ac:dyDescent="0.2">
      <c r="A46" s="2">
        <v>44621</v>
      </c>
      <c r="B46">
        <v>5.7207998250178298E-2</v>
      </c>
      <c r="C46">
        <v>4.8212462397543288E-3</v>
      </c>
      <c r="D46">
        <v>8.3026483611124302E-2</v>
      </c>
      <c r="E46">
        <v>-5.1921936932388668E-3</v>
      </c>
      <c r="F46">
        <v>3.093396711612861E-2</v>
      </c>
      <c r="G46">
        <v>3.1544096471552097E-2</v>
      </c>
      <c r="H46">
        <v>1.3217492275566119E-2</v>
      </c>
      <c r="I46">
        <v>7.2109878853478637E-2</v>
      </c>
      <c r="J46">
        <v>9.6128402711925354E-2</v>
      </c>
      <c r="K46">
        <v>5.4093627922466643E-2</v>
      </c>
      <c r="L46">
        <v>4.2664834320526479E-2</v>
      </c>
    </row>
    <row r="47" spans="1:12" x14ac:dyDescent="0.2">
      <c r="A47" s="2">
        <v>44652</v>
      </c>
      <c r="B47">
        <v>-3.1761974907745787E-2</v>
      </c>
      <c r="C47">
        <v>-0.13913753641756069</v>
      </c>
      <c r="D47">
        <v>-7.4720063669625469E-3</v>
      </c>
      <c r="E47">
        <v>-9.5902222648647006E-2</v>
      </c>
      <c r="F47">
        <v>-7.3057724759748699E-2</v>
      </c>
      <c r="G47">
        <v>-0.1085300031437285</v>
      </c>
      <c r="H47">
        <v>2.770027260143304E-2</v>
      </c>
      <c r="I47">
        <v>-3.0071742695079281E-2</v>
      </c>
      <c r="J47">
        <v>-3.6581582630474403E-2</v>
      </c>
      <c r="K47">
        <v>-4.5942097184225927E-2</v>
      </c>
      <c r="L47">
        <v>-0.1182150279651959</v>
      </c>
    </row>
    <row r="48" spans="1:12" x14ac:dyDescent="0.2">
      <c r="A48" s="2">
        <v>44682</v>
      </c>
      <c r="B48">
        <v>1.176055839099455E-2</v>
      </c>
      <c r="C48">
        <v>1.896378615284133E-2</v>
      </c>
      <c r="D48">
        <v>0.16034597219789101</v>
      </c>
      <c r="E48">
        <v>2.781813387534848E-2</v>
      </c>
      <c r="F48">
        <v>-4.6248989731890733E-3</v>
      </c>
      <c r="G48">
        <v>-6.8591638972198554E-3</v>
      </c>
      <c r="H48">
        <v>-4.0829516098089158E-2</v>
      </c>
      <c r="I48">
        <v>-5.1072911642239593E-2</v>
      </c>
      <c r="J48">
        <v>4.308189515628813E-2</v>
      </c>
      <c r="K48">
        <v>1.4889707473404011E-2</v>
      </c>
      <c r="L48">
        <v>-5.1203102469514761E-2</v>
      </c>
    </row>
    <row r="49" spans="1:12" x14ac:dyDescent="0.2">
      <c r="A49" s="2">
        <v>44713</v>
      </c>
      <c r="B49">
        <v>-0.14448435759762809</v>
      </c>
      <c r="C49">
        <v>-9.8205405613311592E-2</v>
      </c>
      <c r="D49">
        <v>-0.17993100208794319</v>
      </c>
      <c r="E49">
        <v>-0.1133352548197598</v>
      </c>
      <c r="F49">
        <v>-7.7718965266232232E-2</v>
      </c>
      <c r="G49">
        <v>-9.4909172871054381E-2</v>
      </c>
      <c r="H49">
        <v>-3.0750496499869051E-2</v>
      </c>
      <c r="I49">
        <v>-7.598373949142323E-2</v>
      </c>
      <c r="J49">
        <v>-5.6505073741425438E-2</v>
      </c>
      <c r="K49">
        <v>-3.017438641040027E-2</v>
      </c>
      <c r="L49">
        <v>-0.1103922848486157</v>
      </c>
    </row>
    <row r="50" spans="1:12" x14ac:dyDescent="0.2">
      <c r="A50" s="2">
        <v>44743</v>
      </c>
      <c r="B50">
        <v>6.8896452498209415E-2</v>
      </c>
      <c r="C50">
        <v>4.1209444768891552E-2</v>
      </c>
      <c r="D50">
        <v>0.108927599799115</v>
      </c>
      <c r="E50">
        <v>7.7573704048053527E-2</v>
      </c>
      <c r="F50">
        <v>9.9838532410087444E-2</v>
      </c>
      <c r="G50">
        <v>0.13746672357979059</v>
      </c>
      <c r="H50">
        <v>3.9752735081798551E-2</v>
      </c>
      <c r="I50">
        <v>9.390212192251135E-2</v>
      </c>
      <c r="J50">
        <v>6.2908813662414964E-2</v>
      </c>
      <c r="K50">
        <v>3.6797577899134737E-2</v>
      </c>
      <c r="L50">
        <v>0.1871291868797702</v>
      </c>
    </row>
    <row r="51" spans="1:12" x14ac:dyDescent="0.2">
      <c r="A51" s="2">
        <v>44774</v>
      </c>
      <c r="B51">
        <v>-3.4813696429122798E-2</v>
      </c>
      <c r="C51">
        <v>-3.530235586606989E-2</v>
      </c>
      <c r="D51">
        <v>2.65237991756524E-2</v>
      </c>
      <c r="E51">
        <v>-1.9578665047100489E-2</v>
      </c>
      <c r="F51">
        <v>-2.8335366731834791E-2</v>
      </c>
      <c r="G51">
        <v>-6.2127245157018063E-2</v>
      </c>
      <c r="H51">
        <v>-1.8525975984189369E-2</v>
      </c>
      <c r="I51">
        <v>-5.6156994841142449E-2</v>
      </c>
      <c r="J51">
        <v>5.2738094592175164E-3</v>
      </c>
      <c r="K51">
        <v>-5.7703866481832011E-2</v>
      </c>
      <c r="L51">
        <v>-4.4954876125611547E-2</v>
      </c>
    </row>
    <row r="52" spans="1:12" x14ac:dyDescent="0.2">
      <c r="A52" s="2">
        <v>44805</v>
      </c>
      <c r="B52">
        <v>-9.8130332787438657E-2</v>
      </c>
      <c r="C52">
        <v>-0.1193453939299173</v>
      </c>
      <c r="D52">
        <v>-0.1053416869923568</v>
      </c>
      <c r="E52">
        <v>-8.1391802561336379E-2</v>
      </c>
      <c r="F52">
        <v>-0.108576497771066</v>
      </c>
      <c r="G52">
        <v>-0.1218394974773247</v>
      </c>
      <c r="H52">
        <v>-8.7265814560123278E-2</v>
      </c>
      <c r="I52">
        <v>-0.13954587454238249</v>
      </c>
      <c r="J52">
        <v>-0.1187785635144175</v>
      </c>
      <c r="K52">
        <v>-2.9256184821035761E-2</v>
      </c>
      <c r="L52">
        <v>-8.3981594468171661E-2</v>
      </c>
    </row>
    <row r="53" spans="1:12" x14ac:dyDescent="0.2">
      <c r="A53" s="2">
        <v>44835</v>
      </c>
      <c r="B53">
        <v>9.5412506775330419E-2</v>
      </c>
      <c r="C53">
        <v>8.8101998969207784E-3</v>
      </c>
      <c r="D53">
        <v>0.26327789654872441</v>
      </c>
      <c r="E53">
        <v>0.1251232808631815</v>
      </c>
      <c r="F53">
        <v>0.14439448359322141</v>
      </c>
      <c r="G53">
        <v>7.9186092594820012E-2</v>
      </c>
      <c r="H53">
        <v>9.7155345085419009E-2</v>
      </c>
      <c r="I53">
        <v>2.9279473012609358E-2</v>
      </c>
      <c r="J53">
        <v>2.6290762512672261E-2</v>
      </c>
      <c r="K53">
        <v>0.1004800341636229</v>
      </c>
      <c r="L53">
        <v>1.32084387945921E-2</v>
      </c>
    </row>
    <row r="54" spans="1:12" x14ac:dyDescent="0.2">
      <c r="A54" s="2">
        <v>44866</v>
      </c>
      <c r="B54">
        <v>0.1170354636999931</v>
      </c>
      <c r="C54">
        <v>6.845052667510565E-2</v>
      </c>
      <c r="D54">
        <v>1.2777905945180469E-2</v>
      </c>
      <c r="E54">
        <v>6.8569983564207071E-2</v>
      </c>
      <c r="F54">
        <v>7.8113515782076259E-2</v>
      </c>
      <c r="G54">
        <v>6.3267342777185043E-2</v>
      </c>
      <c r="H54">
        <v>6.1176785086363372E-2</v>
      </c>
      <c r="I54">
        <v>6.8336758246031692E-2</v>
      </c>
      <c r="J54">
        <v>6.9631724829715136E-2</v>
      </c>
      <c r="K54">
        <v>4.7231706000116391E-2</v>
      </c>
      <c r="L54">
        <v>1.485807075961953E-2</v>
      </c>
    </row>
    <row r="55" spans="1:12" x14ac:dyDescent="0.2">
      <c r="A55" s="2">
        <v>44896</v>
      </c>
      <c r="B55">
        <v>-6.1268864323726469E-2</v>
      </c>
      <c r="C55">
        <v>-6.8336218089042888E-2</v>
      </c>
      <c r="D55">
        <v>-4.0373105973845358E-2</v>
      </c>
      <c r="E55">
        <v>-5.8110787358790827E-2</v>
      </c>
      <c r="F55">
        <v>-3.4506491140671169E-2</v>
      </c>
      <c r="G55">
        <v>-8.4730798493753867E-2</v>
      </c>
      <c r="H55">
        <v>-3.420136003408325E-2</v>
      </c>
      <c r="I55">
        <v>-5.886862385037861E-2</v>
      </c>
      <c r="J55">
        <v>-1.301971129452895E-2</v>
      </c>
      <c r="K55">
        <v>-2.28024235677321E-2</v>
      </c>
      <c r="L55">
        <v>-0.11637142286681119</v>
      </c>
    </row>
    <row r="56" spans="1:12" x14ac:dyDescent="0.2">
      <c r="A56" s="2">
        <v>44927</v>
      </c>
      <c r="B56">
        <v>9.6786582277782029E-2</v>
      </c>
      <c r="C56">
        <v>0.15056469496074351</v>
      </c>
      <c r="D56">
        <v>3.8713143705442647E-2</v>
      </c>
      <c r="E56">
        <v>7.5709051183649123E-2</v>
      </c>
      <c r="F56">
        <v>4.2013159716590032E-2</v>
      </c>
      <c r="G56">
        <v>9.5711792646591132E-2</v>
      </c>
      <c r="H56">
        <v>-3.7723631163463218E-3</v>
      </c>
      <c r="I56">
        <v>0.11158582009742329</v>
      </c>
      <c r="J56">
        <v>-1.198161243521023E-2</v>
      </c>
      <c r="K56">
        <v>-1.428546248068641E-2</v>
      </c>
      <c r="L56">
        <v>0.1544404146800524</v>
      </c>
    </row>
    <row r="57" spans="1:12" x14ac:dyDescent="0.2">
      <c r="A57" s="2">
        <v>44958</v>
      </c>
      <c r="B57">
        <v>-3.3313569253057618E-2</v>
      </c>
      <c r="C57">
        <v>-2.8685513072910899E-2</v>
      </c>
      <c r="D57">
        <v>-6.93874615903598E-2</v>
      </c>
      <c r="E57">
        <v>-2.29759698626163E-2</v>
      </c>
      <c r="F57">
        <v>-8.6400861999279543E-3</v>
      </c>
      <c r="G57">
        <v>4.1192002021877014E-3</v>
      </c>
      <c r="H57">
        <v>-2.318934311491061E-2</v>
      </c>
      <c r="I57">
        <v>-5.8635144995916821E-2</v>
      </c>
      <c r="J57">
        <v>-5.9198171452591757E-2</v>
      </c>
      <c r="K57">
        <v>-4.6415569308334237E-2</v>
      </c>
      <c r="L57">
        <v>-2.1250722652486179E-2</v>
      </c>
    </row>
    <row r="58" spans="1:12" x14ac:dyDescent="0.2">
      <c r="A58" s="2">
        <v>44986</v>
      </c>
      <c r="B58">
        <v>-1.4297933175307481E-2</v>
      </c>
      <c r="C58">
        <v>8.3551369746696524E-2</v>
      </c>
      <c r="D58">
        <v>-1.027592715354275E-2</v>
      </c>
      <c r="E58">
        <v>-9.9943911373806982E-2</v>
      </c>
      <c r="F58">
        <v>2.0798923112321792E-3</v>
      </c>
      <c r="G58">
        <v>0.10613798394618359</v>
      </c>
      <c r="H58">
        <v>3.7206684089768682E-2</v>
      </c>
      <c r="I58">
        <v>-2.172206525314713E-2</v>
      </c>
      <c r="J58">
        <v>4.1384829937329837E-2</v>
      </c>
      <c r="K58">
        <v>1.800753603860494E-2</v>
      </c>
      <c r="L58">
        <v>2.7483806479366549E-2</v>
      </c>
    </row>
    <row r="59" spans="1:12" x14ac:dyDescent="0.2">
      <c r="A59" s="2">
        <v>45017</v>
      </c>
      <c r="B59">
        <v>2.9796692728540912E-3</v>
      </c>
      <c r="C59">
        <v>3.611842546788413E-2</v>
      </c>
      <c r="D59">
        <v>3.8493986659850599E-2</v>
      </c>
      <c r="E59">
        <v>3.6846832894154247E-2</v>
      </c>
      <c r="F59">
        <v>-7.6074722262089436E-3</v>
      </c>
      <c r="G59">
        <v>1.013048428489149E-3</v>
      </c>
      <c r="H59">
        <v>4.1524223845508468E-2</v>
      </c>
      <c r="I59">
        <v>1.7084955575737752E-2</v>
      </c>
      <c r="J59">
        <v>2.6568423827654449E-2</v>
      </c>
      <c r="K59">
        <v>3.5461196605806933E-2</v>
      </c>
      <c r="L59">
        <v>-8.2170800704889357E-3</v>
      </c>
    </row>
    <row r="60" spans="1:12" x14ac:dyDescent="0.2">
      <c r="A60" s="2">
        <v>45047</v>
      </c>
      <c r="B60">
        <v>-6.865304483646506E-2</v>
      </c>
      <c r="C60">
        <v>3.9065038755786263E-2</v>
      </c>
      <c r="D60">
        <v>-0.10031718013696959</v>
      </c>
      <c r="E60">
        <v>-4.250835546084708E-2</v>
      </c>
      <c r="F60">
        <v>-3.149997118476533E-2</v>
      </c>
      <c r="G60">
        <v>8.917318380062822E-2</v>
      </c>
      <c r="H60">
        <v>-6.159591081128768E-2</v>
      </c>
      <c r="I60">
        <v>-4.5297968976355962E-2</v>
      </c>
      <c r="J60">
        <v>-5.8712695315515817E-2</v>
      </c>
      <c r="K60">
        <v>-4.2687015992891597E-2</v>
      </c>
      <c r="L60">
        <v>2.53618008071268E-2</v>
      </c>
    </row>
    <row r="61" spans="1:12" x14ac:dyDescent="0.2">
      <c r="A61" s="2">
        <v>45078</v>
      </c>
      <c r="B61">
        <v>0.10463887308212259</v>
      </c>
      <c r="C61">
        <v>4.562967995281797E-2</v>
      </c>
      <c r="D61">
        <v>5.9798993869833561E-2</v>
      </c>
      <c r="E61">
        <v>6.1398017173818209E-2</v>
      </c>
      <c r="F61">
        <v>0.1081052729862559</v>
      </c>
      <c r="G61">
        <v>5.8315156576953742E-2</v>
      </c>
      <c r="H61">
        <v>2.06410740607752E-2</v>
      </c>
      <c r="I61">
        <v>4.5782424888000113E-2</v>
      </c>
      <c r="J61">
        <v>7.8546838167390387E-3</v>
      </c>
      <c r="K61">
        <v>3.8332048322126562E-2</v>
      </c>
      <c r="L61">
        <v>0.1200449510577177</v>
      </c>
    </row>
    <row r="62" spans="1:12" x14ac:dyDescent="0.2">
      <c r="A62" s="2">
        <v>45108</v>
      </c>
      <c r="B62">
        <v>3.9464478243278922E-2</v>
      </c>
      <c r="C62">
        <v>5.872344000467411E-2</v>
      </c>
      <c r="D62">
        <v>8.7230759000422875E-2</v>
      </c>
      <c r="E62">
        <v>5.2759686755824653E-2</v>
      </c>
      <c r="F62">
        <v>3.2999966164851458E-2</v>
      </c>
      <c r="G62">
        <v>2.7974119843649389E-2</v>
      </c>
      <c r="H62">
        <v>2.85478940485091E-2</v>
      </c>
      <c r="I62">
        <v>2.3010312118396881E-2</v>
      </c>
      <c r="J62">
        <v>3.315208598838737E-2</v>
      </c>
      <c r="K62">
        <v>1.4858876700570621E-2</v>
      </c>
      <c r="L62">
        <v>2.5201600710780259E-2</v>
      </c>
    </row>
    <row r="63" spans="1:12" x14ac:dyDescent="0.2">
      <c r="A63" s="2">
        <v>45139</v>
      </c>
      <c r="B63">
        <v>-3.3014538988751729E-2</v>
      </c>
      <c r="C63">
        <v>-1.5409083015862969E-2</v>
      </c>
      <c r="D63">
        <v>1.646085897496596E-2</v>
      </c>
      <c r="E63">
        <v>-2.6889352707906711E-2</v>
      </c>
      <c r="F63">
        <v>-1.9833373096299511E-2</v>
      </c>
      <c r="G63">
        <v>-1.508279601628304E-2</v>
      </c>
      <c r="H63">
        <v>-3.9471837894290429E-2</v>
      </c>
      <c r="I63">
        <v>-3.0636210849663389E-2</v>
      </c>
      <c r="J63">
        <v>-6.1279312519803231E-2</v>
      </c>
      <c r="K63">
        <v>-7.0069470814519974E-3</v>
      </c>
      <c r="L63">
        <v>-1.7439939411846739E-2</v>
      </c>
    </row>
    <row r="64" spans="1:12" x14ac:dyDescent="0.2">
      <c r="A64" s="2">
        <v>45170</v>
      </c>
      <c r="B64">
        <v>-5.2358504671239807E-2</v>
      </c>
      <c r="C64">
        <v>-3.1891455513194063E-2</v>
      </c>
      <c r="D64">
        <v>1.653171278404364E-2</v>
      </c>
      <c r="E64">
        <v>-3.5194884962172157E-2</v>
      </c>
      <c r="F64">
        <v>-6.3291211105090506E-2</v>
      </c>
      <c r="G64">
        <v>-6.6776791578285644E-2</v>
      </c>
      <c r="H64">
        <v>-5.4288111329504951E-2</v>
      </c>
      <c r="I64">
        <v>-7.9686650692518901E-2</v>
      </c>
      <c r="J64">
        <v>-6.4008888744200521E-2</v>
      </c>
      <c r="K64">
        <v>-3.3556033082725027E-2</v>
      </c>
      <c r="L64">
        <v>-5.6997357198532939E-2</v>
      </c>
    </row>
    <row r="65" spans="1:12" x14ac:dyDescent="0.2">
      <c r="A65" s="2">
        <v>45200</v>
      </c>
      <c r="B65">
        <v>-2.7031767438286169E-2</v>
      </c>
      <c r="C65">
        <v>-1.0500800229981341E-2</v>
      </c>
      <c r="D65">
        <v>-5.0573604828390017E-2</v>
      </c>
      <c r="E65">
        <v>-2.005875120979617E-2</v>
      </c>
      <c r="F65">
        <v>-2.5836483405129451E-2</v>
      </c>
      <c r="G65">
        <v>2.6251329011708351E-3</v>
      </c>
      <c r="H65">
        <v>-7.122712782207552E-3</v>
      </c>
      <c r="I65">
        <v>-2.0724959771508011E-2</v>
      </c>
      <c r="J65">
        <v>2.1104428015651822E-2</v>
      </c>
      <c r="K65">
        <v>-2.865600260164014E-2</v>
      </c>
      <c r="L65">
        <v>-5.3481542198580811E-2</v>
      </c>
    </row>
    <row r="66" spans="1:12" x14ac:dyDescent="0.2">
      <c r="A66" s="2">
        <v>45231</v>
      </c>
      <c r="B66">
        <v>8.3486881857633977E-2</v>
      </c>
      <c r="C66">
        <v>7.802831701529378E-2</v>
      </c>
      <c r="D66">
        <v>-7.1604413545827139E-3</v>
      </c>
      <c r="E66">
        <v>0.1093943129311299</v>
      </c>
      <c r="F66">
        <v>8.834900020846459E-2</v>
      </c>
      <c r="G66">
        <v>0.12895549577240351</v>
      </c>
      <c r="H66">
        <v>4.1261658423366272E-2</v>
      </c>
      <c r="I66">
        <v>0.1247733598932466</v>
      </c>
      <c r="J66">
        <v>5.1432386559272743E-2</v>
      </c>
      <c r="K66">
        <v>5.4359910940970702E-2</v>
      </c>
      <c r="L66">
        <v>0.1096646608446785</v>
      </c>
    </row>
    <row r="67" spans="1:12" x14ac:dyDescent="0.2">
      <c r="A67" s="2">
        <v>45261</v>
      </c>
      <c r="B67">
        <v>3.7980788933023479E-2</v>
      </c>
      <c r="C67">
        <v>4.1421919703467092E-2</v>
      </c>
      <c r="D67">
        <v>-8.7492250840977004E-3</v>
      </c>
      <c r="E67">
        <v>4.7353810686062918E-2</v>
      </c>
      <c r="F67">
        <v>6.4829362917408151E-2</v>
      </c>
      <c r="G67">
        <v>3.9533369652190682E-2</v>
      </c>
      <c r="H67">
        <v>1.9388475967658799E-2</v>
      </c>
      <c r="I67">
        <v>7.601408499400053E-2</v>
      </c>
      <c r="J67">
        <v>9.0822746941550125E-3</v>
      </c>
      <c r="K67">
        <v>3.8611049957888E-2</v>
      </c>
      <c r="L67">
        <v>5.9426432724146487E-2</v>
      </c>
    </row>
    <row r="68" spans="1:12" x14ac:dyDescent="0.2">
      <c r="A68" s="2">
        <v>45292</v>
      </c>
      <c r="B68">
        <v>-3.2213717902906169E-2</v>
      </c>
      <c r="C68">
        <v>4.6880748376682213E-2</v>
      </c>
      <c r="D68">
        <v>4.4269679251442984E-3</v>
      </c>
      <c r="E68">
        <v>3.5954504436734203E-2</v>
      </c>
      <c r="F68">
        <v>-4.2315080996194743E-3</v>
      </c>
      <c r="G68">
        <v>2.9281662235835171E-2</v>
      </c>
      <c r="H68">
        <v>2.0030482067936891E-2</v>
      </c>
      <c r="I68">
        <v>-3.8053350643646788E-2</v>
      </c>
      <c r="J68">
        <v>-2.054509382766179E-2</v>
      </c>
      <c r="K68">
        <v>3.3938411956730093E-2</v>
      </c>
      <c r="L68">
        <v>-4.241509345654082E-2</v>
      </c>
    </row>
    <row r="69" spans="1:12" x14ac:dyDescent="0.2">
      <c r="A69" s="2">
        <v>45323</v>
      </c>
      <c r="B69">
        <v>6.5077202816344215E-2</v>
      </c>
      <c r="C69">
        <v>4.5861989810609627E-2</v>
      </c>
      <c r="D69">
        <v>3.2729884502716633E-2</v>
      </c>
      <c r="E69">
        <v>4.0763741072274762E-2</v>
      </c>
      <c r="F69">
        <v>7.1839909403180302E-2</v>
      </c>
      <c r="G69">
        <v>4.7045708728384428E-2</v>
      </c>
      <c r="H69">
        <v>2.0981748141303051E-2</v>
      </c>
      <c r="I69">
        <v>2.5701607047183161E-2</v>
      </c>
      <c r="J69">
        <v>1.057768730949404E-2</v>
      </c>
      <c r="K69">
        <v>3.1628532678533723E-2</v>
      </c>
      <c r="L69">
        <v>7.8925828931758701E-2</v>
      </c>
    </row>
    <row r="70" spans="1:12" x14ac:dyDescent="0.2">
      <c r="A70" s="2">
        <v>45352</v>
      </c>
      <c r="B70">
        <v>6.0872521378466438E-2</v>
      </c>
      <c r="C70">
        <v>2.8981876729497369E-2</v>
      </c>
      <c r="D70">
        <v>9.6006551843046184E-2</v>
      </c>
      <c r="E70">
        <v>4.4124890467009743E-2</v>
      </c>
      <c r="F70">
        <v>4.0991671382037957E-2</v>
      </c>
      <c r="G70">
        <v>6.2326209325209714E-3</v>
      </c>
      <c r="H70">
        <v>2.5655029082719331E-2</v>
      </c>
      <c r="I70">
        <v>1.0738880146437649E-2</v>
      </c>
      <c r="J70">
        <v>5.7165890209855519E-2</v>
      </c>
      <c r="K70">
        <v>2.0093740313523959E-2</v>
      </c>
      <c r="L70">
        <v>-2.8198216255885811E-3</v>
      </c>
    </row>
    <row r="71" spans="1:12" x14ac:dyDescent="0.2">
      <c r="A71" s="2">
        <v>45383</v>
      </c>
      <c r="B71">
        <v>-4.2433244196927178E-2</v>
      </c>
      <c r="C71">
        <v>-4.3954129643545392E-2</v>
      </c>
      <c r="D71">
        <v>-1.421868087767453E-3</v>
      </c>
      <c r="E71">
        <v>-3.8177675728006122E-2</v>
      </c>
      <c r="F71">
        <v>-3.2267714590712093E-2</v>
      </c>
      <c r="G71">
        <v>-5.6061423310562852E-2</v>
      </c>
      <c r="H71">
        <v>-3.983306244091489E-3</v>
      </c>
      <c r="I71">
        <v>-7.8259699034684882E-2</v>
      </c>
      <c r="J71">
        <v>2.5002250531952042E-2</v>
      </c>
      <c r="K71">
        <v>-4.6661179262626577E-2</v>
      </c>
      <c r="L71">
        <v>-4.2892268106279767E-2</v>
      </c>
    </row>
    <row r="72" spans="1:12" x14ac:dyDescent="0.2">
      <c r="A72" s="2">
        <v>45413</v>
      </c>
      <c r="B72">
        <v>3.2720331371696831E-2</v>
      </c>
      <c r="C72">
        <v>6.9355228919675715E-2</v>
      </c>
      <c r="D72">
        <v>-3.4217203124222721E-3</v>
      </c>
      <c r="E72">
        <v>3.1714643444777917E-2</v>
      </c>
      <c r="F72">
        <v>1.6375964331620141E-2</v>
      </c>
      <c r="G72">
        <v>7.0769891899963744E-2</v>
      </c>
      <c r="H72">
        <v>2.4370858758027799E-2</v>
      </c>
      <c r="I72">
        <v>5.1395379558337062E-2</v>
      </c>
      <c r="J72">
        <v>8.9601444189076451E-2</v>
      </c>
      <c r="K72">
        <v>2.401483904644075E-2</v>
      </c>
      <c r="L72">
        <v>1.993006416412646E-3</v>
      </c>
    </row>
    <row r="73" spans="1:12" x14ac:dyDescent="0.2">
      <c r="A73" s="2">
        <v>45444</v>
      </c>
      <c r="B73">
        <v>-3.5179780003237182E-2</v>
      </c>
      <c r="C73">
        <v>2.8825377434917861E-2</v>
      </c>
      <c r="D73">
        <v>-2.1995648343851371E-2</v>
      </c>
      <c r="E73">
        <v>-1.272811876894442E-2</v>
      </c>
      <c r="F73">
        <v>-1.3278283925030049E-2</v>
      </c>
      <c r="G73">
        <v>7.6465538359260288E-2</v>
      </c>
      <c r="H73">
        <v>-9.8266730549118053E-3</v>
      </c>
      <c r="I73">
        <v>9.4612918503556021E-3</v>
      </c>
      <c r="J73">
        <v>-6.2981290457360228E-2</v>
      </c>
      <c r="K73">
        <v>1.4265707059634369E-2</v>
      </c>
      <c r="L73">
        <v>3.6540226380907148E-2</v>
      </c>
    </row>
    <row r="74" spans="1:12" x14ac:dyDescent="0.2">
      <c r="A74" s="2">
        <v>45474</v>
      </c>
      <c r="B74">
        <v>4.8340385594118462E-2</v>
      </c>
      <c r="C74">
        <v>4.1657504141610069E-3</v>
      </c>
      <c r="D74">
        <v>3.0812102364627499E-2</v>
      </c>
      <c r="E74">
        <v>6.8187413169844557E-2</v>
      </c>
      <c r="F74">
        <v>5.2754869374836977E-2</v>
      </c>
      <c r="G74">
        <v>-3.1146006134681992E-2</v>
      </c>
      <c r="H74">
        <v>2.425895241189879E-2</v>
      </c>
      <c r="I74">
        <v>8.3271529822530166E-2</v>
      </c>
      <c r="J74">
        <v>7.6854809073180208E-2</v>
      </c>
      <c r="K74">
        <v>3.064371755737683E-2</v>
      </c>
      <c r="L74">
        <v>3.0117081097864599E-2</v>
      </c>
    </row>
    <row r="75" spans="1:12" x14ac:dyDescent="0.2">
      <c r="A75" s="2">
        <v>45505</v>
      </c>
      <c r="B75">
        <v>2.322546786201141E-2</v>
      </c>
      <c r="C75">
        <v>1.7834215025330339E-2</v>
      </c>
      <c r="D75">
        <v>-2.070593474342242E-2</v>
      </c>
      <c r="E75">
        <v>4.5724788231578772E-2</v>
      </c>
      <c r="F75">
        <v>2.815590647622845E-2</v>
      </c>
      <c r="G75">
        <v>6.9927368204401041E-3</v>
      </c>
      <c r="H75">
        <v>5.9858717478010082E-2</v>
      </c>
      <c r="I75">
        <v>5.7295502040932027E-2</v>
      </c>
      <c r="J75">
        <v>4.8083609648020387E-2</v>
      </c>
      <c r="K75">
        <v>5.059134791458586E-2</v>
      </c>
      <c r="L75">
        <v>-1.973488269981782E-3</v>
      </c>
    </row>
    <row r="76" spans="1:12" x14ac:dyDescent="0.2">
      <c r="A76" s="2">
        <v>45536</v>
      </c>
      <c r="B76">
        <v>2.2274068715958831E-2</v>
      </c>
      <c r="C76">
        <v>3.5272630870924582E-2</v>
      </c>
      <c r="D76">
        <v>-3.8124406036376901E-2</v>
      </c>
      <c r="E76">
        <v>-9.1823665215886585E-3</v>
      </c>
      <c r="F76">
        <v>3.0275347302038069E-2</v>
      </c>
      <c r="G76">
        <v>2.4644751848888809E-2</v>
      </c>
      <c r="H76">
        <v>5.9386940413386213E-3</v>
      </c>
      <c r="I76">
        <v>2.571751058004712E-2</v>
      </c>
      <c r="J76">
        <v>5.8854255445859323E-2</v>
      </c>
      <c r="K76">
        <v>-2.0228903474744708E-2</v>
      </c>
      <c r="L76">
        <v>7.0810179406586737E-2</v>
      </c>
    </row>
  </sheetData>
  <mergeCells count="2">
    <mergeCell ref="A1:L1"/>
    <mergeCell ref="Q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95CA-2AB6-D143-965F-49390DD4DF3F}">
  <dimension ref="A1:BV335"/>
  <sheetViews>
    <sheetView topLeftCell="AZ1" zoomScale="113" zoomScaleNormal="100" workbookViewId="0">
      <selection activeCell="A76" sqref="A76:L76"/>
    </sheetView>
  </sheetViews>
  <sheetFormatPr baseColWidth="10" defaultColWidth="8.83203125" defaultRowHeight="15" x14ac:dyDescent="0.2"/>
  <cols>
    <col min="1" max="1" width="17.6640625" bestFit="1" customWidth="1"/>
    <col min="45" max="45" width="13.5" customWidth="1"/>
    <col min="52" max="52" width="16.5" customWidth="1"/>
    <col min="53" max="53" width="23" customWidth="1"/>
    <col min="54" max="54" width="18.1640625" customWidth="1"/>
    <col min="55" max="55" width="17.83203125" customWidth="1"/>
    <col min="56" max="56" width="17.83203125" style="12" customWidth="1"/>
    <col min="57" max="57" width="20.33203125" style="5" customWidth="1"/>
    <col min="58" max="58" width="27.5" customWidth="1"/>
    <col min="60" max="60" width="12" customWidth="1"/>
  </cols>
  <sheetData>
    <row r="1" spans="1:64" x14ac:dyDescent="0.2">
      <c r="A1" s="62" t="s">
        <v>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 t="s">
        <v>89</v>
      </c>
      <c r="N1" s="63"/>
      <c r="O1" s="63"/>
      <c r="P1" s="63"/>
      <c r="Q1" s="63"/>
      <c r="R1" s="63"/>
      <c r="S1" s="63"/>
      <c r="T1" s="63"/>
      <c r="U1" s="63"/>
      <c r="V1" s="63"/>
      <c r="W1" s="63"/>
      <c r="BB1" s="36" t="s">
        <v>156</v>
      </c>
      <c r="BC1" s="66" t="s">
        <v>171</v>
      </c>
      <c r="BD1" s="66"/>
      <c r="BE1" s="67" t="s">
        <v>172</v>
      </c>
      <c r="BF1" s="67"/>
    </row>
    <row r="2" spans="1:64" x14ac:dyDescent="0.2">
      <c r="A2" s="16" t="s">
        <v>18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5" t="str" cm="1">
        <f t="array" ref="M2:W2">ETF</f>
        <v>XLB</v>
      </c>
      <c r="N2" s="15" t="str">
        <v>XLC</v>
      </c>
      <c r="O2" s="15" t="str">
        <v>XLE</v>
      </c>
      <c r="P2" s="15" t="str">
        <v>XLF</v>
      </c>
      <c r="Q2" s="15" t="str">
        <v>XLI</v>
      </c>
      <c r="R2" s="15" t="str">
        <v>XLK</v>
      </c>
      <c r="S2" s="15" t="str">
        <v>XLP</v>
      </c>
      <c r="T2" s="15" t="str">
        <v>XLRE</v>
      </c>
      <c r="U2" s="15" t="str">
        <v>XLU</v>
      </c>
      <c r="V2" s="15" t="str">
        <v>XLV</v>
      </c>
      <c r="W2" s="15" t="str">
        <v>XLY</v>
      </c>
      <c r="AM2" s="64" t="s">
        <v>37</v>
      </c>
      <c r="AN2" s="64"/>
      <c r="AP2" s="19" t="s">
        <v>26</v>
      </c>
      <c r="AQ2" s="19" t="s">
        <v>27</v>
      </c>
      <c r="AS2" s="8" t="s">
        <v>38</v>
      </c>
      <c r="AT2" s="20">
        <f>3%/12</f>
        <v>2.5000000000000001E-3</v>
      </c>
      <c r="AV2" s="19" t="s">
        <v>42</v>
      </c>
      <c r="AW2" s="19" t="s">
        <v>43</v>
      </c>
      <c r="AZ2" s="21" t="s">
        <v>21</v>
      </c>
      <c r="BA2" s="21" t="s">
        <v>30</v>
      </c>
      <c r="BB2" s="22" t="s">
        <v>31</v>
      </c>
      <c r="BC2" s="22" t="s">
        <v>44</v>
      </c>
      <c r="BD2" s="22" t="s">
        <v>93</v>
      </c>
      <c r="BE2" s="22" t="s">
        <v>45</v>
      </c>
      <c r="BF2" s="22" t="s">
        <v>46</v>
      </c>
    </row>
    <row r="3" spans="1:64" x14ac:dyDescent="0.2">
      <c r="A3" s="17">
        <v>43313</v>
      </c>
      <c r="B3" s="18">
        <v>-7.7011256301212638E-3</v>
      </c>
      <c r="C3" s="18">
        <v>1.485779284217092E-2</v>
      </c>
      <c r="D3" s="18">
        <v>-3.4751352644136868E-2</v>
      </c>
      <c r="E3" s="18">
        <v>1.3595545079883919E-2</v>
      </c>
      <c r="F3" s="18">
        <v>2.3405278878423359E-3</v>
      </c>
      <c r="G3" s="18">
        <v>6.5989949649564172E-2</v>
      </c>
      <c r="H3" s="18">
        <v>3.9200789709519226E-3</v>
      </c>
      <c r="I3" s="18">
        <v>2.4205573456840709E-2</v>
      </c>
      <c r="J3" s="18">
        <v>1.288140311484787E-2</v>
      </c>
      <c r="K3" s="18">
        <v>4.3292341322602963E-2</v>
      </c>
      <c r="L3" s="18">
        <v>5.1046993804164442E-2</v>
      </c>
      <c r="M3" s="7" cm="1">
        <f t="array" aca="1" ref="M3:M76" ca="1">INDIRECT(M2)-AVERAGE(INDIRECT((M2)))</f>
        <v>-1.780687021730171E-2</v>
      </c>
      <c r="N3" s="7" cm="1">
        <f t="array" aca="1" ref="N3:N76" ca="1">INDIRECT(N2)-AVERAGE(INDIRECT((N2)))</f>
        <v>3.9246850863503963E-3</v>
      </c>
      <c r="O3" s="7" cm="1">
        <f t="array" aca="1" ref="O3:O76" ca="1">INDIRECT(O2)-AVERAGE(INDIRECT((O2)))</f>
        <v>-4.5687177208531334E-2</v>
      </c>
      <c r="P3" s="7" cm="1">
        <f t="array" aca="1" ref="P3:P76" ca="1">INDIRECT(P2)-AVERAGE(INDIRECT((P2)))</f>
        <v>3.2512202952789913E-3</v>
      </c>
      <c r="Q3" s="7" cm="1">
        <f t="array" aca="1" ref="Q3:Q76" ca="1">INDIRECT(Q2)-AVERAGE(INDIRECT((Q2)))</f>
        <v>-8.7436150488026023E-3</v>
      </c>
      <c r="R3" s="7" cm="1">
        <f t="array" aca="1" ref="R3:R76" ca="1">INDIRECT(R2)-AVERAGE(INDIRECT((R2)))</f>
        <v>4.7341601815105244E-2</v>
      </c>
      <c r="S3" s="7" cm="1">
        <f t="array" aca="1" ref="S3:S76" ca="1">INDIRECT(S2)-AVERAGE(INDIRECT((S2)))</f>
        <v>-5.0451649330536209E-3</v>
      </c>
      <c r="T3" s="7" cm="1">
        <f t="array" aca="1" ref="T3:T76" ca="1">INDIRECT(T2)-AVERAGE(INDIRECT((T2)))</f>
        <v>1.5662696975266586E-2</v>
      </c>
      <c r="U3" s="7" cm="1">
        <f t="array" aca="1" ref="U3:U76" ca="1">INDIRECT(U2)-AVERAGE(INDIRECT((U2)))</f>
        <v>3.2640337041932189E-3</v>
      </c>
      <c r="V3" s="7" cm="1">
        <f t="array" aca="1" ref="V3:V76" ca="1">INDIRECT(V2)-AVERAGE(INDIRECT((V2)))</f>
        <v>3.3483744458331001E-2</v>
      </c>
      <c r="W3" s="7" cm="1">
        <f t="array" aca="1" ref="W3:W76" ca="1">INDIRECT(W2)-AVERAGE(INDIRECT((W2)))</f>
        <v>3.9986554745907565E-2</v>
      </c>
      <c r="Z3" s="64" t="s">
        <v>24</v>
      </c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t="str" cm="1">
        <f t="array" ref="AM3:AM13">TRANSPOSE(ETF)</f>
        <v>XLB</v>
      </c>
      <c r="AN3">
        <f ca="1">AVERAGE(INDIRECT(AM3))</f>
        <v>1.0105744587180446E-2</v>
      </c>
      <c r="AP3" s="5">
        <v>1</v>
      </c>
      <c r="AQ3" s="5">
        <v>0</v>
      </c>
      <c r="AV3" s="12">
        <f ca="1">BA18</f>
        <v>1.1143211146830511E-2</v>
      </c>
      <c r="AW3" s="13">
        <v>0.02</v>
      </c>
      <c r="AZ3" t="s">
        <v>3</v>
      </c>
      <c r="BA3" s="11">
        <v>0.14000000000000001</v>
      </c>
      <c r="BB3" s="12">
        <f t="array" aca="1" ref="BB3:BB13" ca="1">MMULT(MINVERSE(GMVAMAT),GMVBVEC)</f>
        <v>-0.29689020944098632</v>
      </c>
      <c r="BC3" s="12">
        <f t="array" aca="1" ref="BC3:BC13" ca="1">MMULT(MINVERSE(EPAMAT),EPBVEC1)</f>
        <v>-0.26154707759297391</v>
      </c>
      <c r="BD3" s="11">
        <f t="array" aca="1" ref="BD3:BD13" ca="1">MMULT(MINVERSE(EPAMAT),EPBVEC2)</f>
        <v>-0.15796927170945405</v>
      </c>
      <c r="BE3" s="14">
        <v>-3.9347509259957447E-2</v>
      </c>
      <c r="BF3" s="23"/>
    </row>
    <row r="4" spans="1:64" x14ac:dyDescent="0.2">
      <c r="A4" s="17">
        <v>43344</v>
      </c>
      <c r="B4" s="18">
        <v>-2.2608583024866239E-2</v>
      </c>
      <c r="C4" s="18">
        <v>-3.660088226023261E-3</v>
      </c>
      <c r="D4" s="18">
        <v>1.7463903591059319E-2</v>
      </c>
      <c r="E4" s="18">
        <v>-2.6473539010366091E-2</v>
      </c>
      <c r="F4" s="18">
        <v>1.6861152192347181E-2</v>
      </c>
      <c r="G4" s="18">
        <v>-3.5715496719252999E-3</v>
      </c>
      <c r="H4" s="18">
        <v>2.789182753093256E-3</v>
      </c>
      <c r="I4" s="18">
        <v>-3.6632028675961943E-2</v>
      </c>
      <c r="J4" s="18">
        <v>-1.5335503990757889E-2</v>
      </c>
      <c r="K4" s="18">
        <v>2.5544491546348299E-2</v>
      </c>
      <c r="L4" s="18">
        <v>2.30865496972199E-3</v>
      </c>
      <c r="M4" s="7">
        <f ca="1"/>
        <v>-3.2714327612046686E-2</v>
      </c>
      <c r="N4" s="7">
        <f ca="1"/>
        <v>-1.4593195981843785E-2</v>
      </c>
      <c r="O4" s="7">
        <f ca="1"/>
        <v>6.5280790266648535E-3</v>
      </c>
      <c r="P4" s="7">
        <f ca="1"/>
        <v>-3.6817863794971019E-2</v>
      </c>
      <c r="Q4" s="7">
        <f ca="1"/>
        <v>5.777009255702242E-3</v>
      </c>
      <c r="R4" s="7">
        <f ca="1"/>
        <v>-2.2219897506384225E-2</v>
      </c>
      <c r="S4" s="7">
        <f ca="1"/>
        <v>-6.1760611509122879E-3</v>
      </c>
      <c r="T4" s="7">
        <f ca="1"/>
        <v>-4.5174905157536069E-2</v>
      </c>
      <c r="U4" s="7">
        <f ca="1"/>
        <v>-2.4952873401412543E-2</v>
      </c>
      <c r="V4" s="7">
        <f ca="1"/>
        <v>1.5735894682076333E-2</v>
      </c>
      <c r="W4" s="7">
        <f ca="1"/>
        <v>-8.7517840885348828E-3</v>
      </c>
      <c r="Z4" s="9"/>
      <c r="AA4" s="9" t="str" cm="1">
        <f t="array" ref="AA4:AK4">ETF</f>
        <v>XLB</v>
      </c>
      <c r="AB4" s="9" t="str">
        <v>XLC</v>
      </c>
      <c r="AC4" s="9" t="str">
        <v>XLE</v>
      </c>
      <c r="AD4" s="9" t="str">
        <v>XLF</v>
      </c>
      <c r="AE4" s="9" t="str">
        <v>XLI</v>
      </c>
      <c r="AF4" s="9" t="str">
        <v>XLK</v>
      </c>
      <c r="AG4" s="9" t="str">
        <v>XLP</v>
      </c>
      <c r="AH4" s="9" t="str">
        <v>XLRE</v>
      </c>
      <c r="AI4" s="9" t="str">
        <v>XLU</v>
      </c>
      <c r="AJ4" s="9" t="str">
        <v>XLV</v>
      </c>
      <c r="AK4" s="9" t="str">
        <v>XLY</v>
      </c>
      <c r="AM4" t="str">
        <v>XLC</v>
      </c>
      <c r="AN4">
        <f t="shared" ref="AN4:AN13" ca="1" si="0">AVERAGE(INDIRECT(AM4))</f>
        <v>1.0933107755820523E-2</v>
      </c>
      <c r="AP4" s="5">
        <v>1</v>
      </c>
      <c r="AQ4" s="5">
        <v>0</v>
      </c>
      <c r="AZ4" t="s">
        <v>4</v>
      </c>
      <c r="BA4" s="11">
        <v>0.11</v>
      </c>
      <c r="BB4" s="12">
        <f ca="1"/>
        <v>0.21358926445487095</v>
      </c>
      <c r="BC4" s="12">
        <f ca="1"/>
        <v>4.4152845671225238E-2</v>
      </c>
      <c r="BD4" s="11">
        <f ca="1"/>
        <v>-0.45240338963473681</v>
      </c>
      <c r="BE4" s="14">
        <v>-1.0210809676626202</v>
      </c>
      <c r="BF4" s="24" t="s">
        <v>47</v>
      </c>
      <c r="BH4" s="68" t="s">
        <v>188</v>
      </c>
      <c r="BI4" s="68"/>
      <c r="BJ4" s="68"/>
      <c r="BK4" s="68"/>
      <c r="BL4" s="68"/>
    </row>
    <row r="5" spans="1:64" x14ac:dyDescent="0.2">
      <c r="A5" s="17">
        <v>43374</v>
      </c>
      <c r="B5" s="18">
        <v>-8.7510321573396777E-2</v>
      </c>
      <c r="C5" s="18">
        <v>-5.7864877102145829E-2</v>
      </c>
      <c r="D5" s="18">
        <v>-0.1071849151644855</v>
      </c>
      <c r="E5" s="18">
        <v>-4.2908347177381463E-2</v>
      </c>
      <c r="F5" s="18">
        <v>-0.10436753612339331</v>
      </c>
      <c r="G5" s="18">
        <v>-7.6928137746950176E-2</v>
      </c>
      <c r="H5" s="18">
        <v>2.7230688925762529E-2</v>
      </c>
      <c r="I5" s="18">
        <v>-5.5563841323963406E-3</v>
      </c>
      <c r="J5" s="18">
        <v>2.8920788141423511E-2</v>
      </c>
      <c r="K5" s="18">
        <v>-6.4153703302932463E-2</v>
      </c>
      <c r="L5" s="18">
        <v>-9.8319713078910964E-2</v>
      </c>
      <c r="M5" s="7">
        <f ca="1"/>
        <v>-9.761606616057722E-2</v>
      </c>
      <c r="N5" s="7">
        <f ca="1"/>
        <v>-6.8797984857966357E-2</v>
      </c>
      <c r="O5" s="7">
        <f ca="1"/>
        <v>-0.11812073972887996</v>
      </c>
      <c r="P5" s="7">
        <f ca="1"/>
        <v>-5.3252671961986395E-2</v>
      </c>
      <c r="Q5" s="7">
        <f ca="1"/>
        <v>-0.11545167906003824</v>
      </c>
      <c r="R5" s="7">
        <f ca="1"/>
        <v>-9.5576485581409104E-2</v>
      </c>
      <c r="S5" s="7">
        <f ca="1"/>
        <v>1.8265445021756983E-2</v>
      </c>
      <c r="T5" s="7">
        <f ca="1"/>
        <v>-1.4099260613970464E-2</v>
      </c>
      <c r="U5" s="7">
        <f ca="1"/>
        <v>1.9303418730768858E-2</v>
      </c>
      <c r="V5" s="7">
        <f ca="1"/>
        <v>-7.3962300167204426E-2</v>
      </c>
      <c r="W5" s="7">
        <f ca="1"/>
        <v>-0.10938015213716784</v>
      </c>
      <c r="Z5" s="9" t="str" cm="1">
        <f t="array" ref="Z5:Z15">TRANSPOSE(ETF)</f>
        <v>XLB</v>
      </c>
      <c r="AA5" cm="1">
        <f t="array" aca="1" ref="AA5:AK15" ca="1">MMULT(TRANSPOSE(EMAT),EMAT)/(COUNT(XLB)-1)</f>
        <v>3.9082140684078897E-3</v>
      </c>
      <c r="AB5">
        <f ca="1"/>
        <v>2.7950105743303859E-3</v>
      </c>
      <c r="AC5">
        <f ca="1"/>
        <v>4.1975566398720831E-3</v>
      </c>
      <c r="AD5">
        <f ca="1"/>
        <v>3.4720907752645875E-3</v>
      </c>
      <c r="AE5">
        <f ca="1"/>
        <v>3.5707310922489166E-3</v>
      </c>
      <c r="AF5">
        <f ca="1"/>
        <v>2.8791126523446844E-3</v>
      </c>
      <c r="AG5">
        <f ca="1"/>
        <v>1.9160074881606325E-3</v>
      </c>
      <c r="AH5">
        <f ca="1"/>
        <v>2.8547230785517085E-3</v>
      </c>
      <c r="AI5">
        <f ca="1"/>
        <v>1.9112656678353459E-3</v>
      </c>
      <c r="AJ5">
        <f ca="1"/>
        <v>2.1080297296266776E-3</v>
      </c>
      <c r="AK5">
        <f ca="1"/>
        <v>3.4107574252195648E-3</v>
      </c>
      <c r="AM5" t="str">
        <v>XLE</v>
      </c>
      <c r="AN5">
        <f t="shared" ca="1" si="0"/>
        <v>1.0935824564394465E-2</v>
      </c>
      <c r="AP5" s="5">
        <v>1</v>
      </c>
      <c r="AQ5" s="5">
        <v>0</v>
      </c>
      <c r="AZ5" t="s">
        <v>5</v>
      </c>
      <c r="BA5" s="11">
        <v>0.05</v>
      </c>
      <c r="BB5" s="12">
        <f ca="1"/>
        <v>-2.6460800817789235E-2</v>
      </c>
      <c r="BC5" s="12">
        <f ca="1"/>
        <v>-1.7805419583324517E-2</v>
      </c>
      <c r="BD5" s="11">
        <f ca="1"/>
        <v>7.5603403387589224E-3</v>
      </c>
      <c r="BE5" s="14">
        <v>3.661030062863161E-2</v>
      </c>
      <c r="BF5" s="23"/>
      <c r="BH5" s="6" t="s">
        <v>183</v>
      </c>
      <c r="BI5" s="52" t="s">
        <v>185</v>
      </c>
      <c r="BJ5" s="52" t="s">
        <v>186</v>
      </c>
      <c r="BK5" s="52" t="s">
        <v>187</v>
      </c>
      <c r="BL5" s="52" t="s">
        <v>45</v>
      </c>
    </row>
    <row r="6" spans="1:64" x14ac:dyDescent="0.2">
      <c r="A6" s="17">
        <v>43405</v>
      </c>
      <c r="B6" s="18">
        <v>3.8015550036958778E-2</v>
      </c>
      <c r="C6" s="18">
        <v>-2.23717931434626E-2</v>
      </c>
      <c r="D6" s="18">
        <v>-1.5634630252041041E-2</v>
      </c>
      <c r="E6" s="18">
        <v>2.62558952541414E-2</v>
      </c>
      <c r="F6" s="18">
        <v>3.8065177938303441E-2</v>
      </c>
      <c r="G6" s="18">
        <v>-1.9624950743346799E-2</v>
      </c>
      <c r="H6" s="18">
        <v>2.2723115248092011E-2</v>
      </c>
      <c r="I6" s="18">
        <v>5.484537717731075E-2</v>
      </c>
      <c r="J6" s="18">
        <v>3.5388229704043317E-2</v>
      </c>
      <c r="K6" s="18">
        <v>8.0834390499586517E-2</v>
      </c>
      <c r="L6" s="18">
        <v>2.476763055533682E-2</v>
      </c>
      <c r="M6" s="7">
        <f ca="1"/>
        <v>2.7909805449778332E-2</v>
      </c>
      <c r="N6" s="7">
        <f ca="1"/>
        <v>-3.3304900899283126E-2</v>
      </c>
      <c r="O6" s="7">
        <f ca="1"/>
        <v>-2.6570454816435506E-2</v>
      </c>
      <c r="P6" s="7">
        <f ca="1"/>
        <v>1.5911570469536472E-2</v>
      </c>
      <c r="Q6" s="7">
        <f ca="1"/>
        <v>2.69810350016585E-2</v>
      </c>
      <c r="R6" s="7">
        <f ca="1"/>
        <v>-3.8273298577805724E-2</v>
      </c>
      <c r="S6" s="7">
        <f ca="1"/>
        <v>1.3757871344086467E-2</v>
      </c>
      <c r="T6" s="7">
        <f ca="1"/>
        <v>4.6302500695736631E-2</v>
      </c>
      <c r="U6" s="7">
        <f ca="1"/>
        <v>2.5770860293388667E-2</v>
      </c>
      <c r="V6" s="7">
        <f ca="1"/>
        <v>7.1025793635314555E-2</v>
      </c>
      <c r="W6" s="7">
        <f ca="1"/>
        <v>1.3707191497079947E-2</v>
      </c>
      <c r="Z6" s="9" t="str">
        <v>XLC</v>
      </c>
      <c r="AA6">
        <f ca="1"/>
        <v>2.7950105743303859E-3</v>
      </c>
      <c r="AB6">
        <f ca="1"/>
        <v>3.4846923097053267E-3</v>
      </c>
      <c r="AC6">
        <f ca="1"/>
        <v>3.2061854807828413E-3</v>
      </c>
      <c r="AD6">
        <f ca="1"/>
        <v>2.9485814088211614E-3</v>
      </c>
      <c r="AE6">
        <f ca="1"/>
        <v>2.8624487979141138E-3</v>
      </c>
      <c r="AF6">
        <f ca="1"/>
        <v>3.2286768219387473E-3</v>
      </c>
      <c r="AG6">
        <f ca="1"/>
        <v>1.4595578781609767E-3</v>
      </c>
      <c r="AH6">
        <f ca="1"/>
        <v>2.4689778098289377E-3</v>
      </c>
      <c r="AI6">
        <f ca="1"/>
        <v>1.409472726509355E-3</v>
      </c>
      <c r="AJ6">
        <f ca="1"/>
        <v>1.6547941876416232E-3</v>
      </c>
      <c r="AK6">
        <f ca="1"/>
        <v>3.2640343948090612E-3</v>
      </c>
      <c r="AM6" t="str">
        <v>XLF</v>
      </c>
      <c r="AN6">
        <f t="shared" ca="1" si="0"/>
        <v>1.0344324784604928E-2</v>
      </c>
      <c r="AP6" s="5">
        <v>1</v>
      </c>
      <c r="AQ6" s="5">
        <v>0</v>
      </c>
      <c r="AZ6" t="s">
        <v>6</v>
      </c>
      <c r="BA6" s="11">
        <v>0.14000000000000001</v>
      </c>
      <c r="BB6" s="12">
        <f ca="1"/>
        <v>0.16223707344866845</v>
      </c>
      <c r="BC6" s="12">
        <f ca="1"/>
        <v>0.21891584976679393</v>
      </c>
      <c r="BD6" s="11">
        <f ca="1"/>
        <v>0.38502063404115183</v>
      </c>
      <c r="BE6" s="14">
        <v>0.57525098400701935</v>
      </c>
      <c r="BF6" s="25">
        <f ca="1">(BA18-RF)/(BE18-RF)</f>
        <v>0.31267069967416306</v>
      </c>
      <c r="BH6" s="6" t="s">
        <v>184</v>
      </c>
      <c r="BI6" s="12">
        <f ca="1">BA17*SQRT(12)</f>
        <v>0.18695146411191255</v>
      </c>
      <c r="BJ6" s="12">
        <f ca="1">BB17*SQRT(12)</f>
        <v>0.12045554834764033</v>
      </c>
      <c r="BK6" s="12">
        <f ca="1">BC17*SQRT(12)</f>
        <v>0.124820207493459</v>
      </c>
      <c r="BL6" s="12">
        <f ca="1">BE17*SQRT(12)</f>
        <v>0.26712297696490273</v>
      </c>
    </row>
    <row r="7" spans="1:64" x14ac:dyDescent="0.2">
      <c r="A7" s="17">
        <v>43435</v>
      </c>
      <c r="B7" s="18">
        <v>-7.4894812432960922E-2</v>
      </c>
      <c r="C7" s="18">
        <v>-8.287051993888217E-2</v>
      </c>
      <c r="D7" s="18">
        <v>-0.1325063753951331</v>
      </c>
      <c r="E7" s="18">
        <v>-0.116796542101453</v>
      </c>
      <c r="F7" s="18">
        <v>-0.1120759740697207</v>
      </c>
      <c r="G7" s="18">
        <v>-8.7724495320135487E-2</v>
      </c>
      <c r="H7" s="18">
        <v>-9.7404821033344358E-2</v>
      </c>
      <c r="I7" s="18">
        <v>-8.4194648330381372E-2</v>
      </c>
      <c r="J7" s="18">
        <v>-4.8030201460678157E-2</v>
      </c>
      <c r="K7" s="18">
        <v>-9.7632208620379912E-2</v>
      </c>
      <c r="L7" s="18">
        <v>-8.3155808076969207E-2</v>
      </c>
      <c r="M7" s="7">
        <f ca="1"/>
        <v>-8.5000557020141365E-2</v>
      </c>
      <c r="N7" s="7">
        <f ca="1"/>
        <v>-9.3803627694702699E-2</v>
      </c>
      <c r="O7" s="7">
        <f ca="1"/>
        <v>-0.14344219995952756</v>
      </c>
      <c r="P7" s="7">
        <f ca="1"/>
        <v>-0.12714086688605794</v>
      </c>
      <c r="Q7" s="7">
        <f ca="1"/>
        <v>-0.12316011700636563</v>
      </c>
      <c r="R7" s="7">
        <f ca="1"/>
        <v>-0.10637284315459442</v>
      </c>
      <c r="S7" s="7">
        <f ca="1"/>
        <v>-0.10637006493734991</v>
      </c>
      <c r="T7" s="7">
        <f ca="1"/>
        <v>-9.2737524811955491E-2</v>
      </c>
      <c r="U7" s="7">
        <f ca="1"/>
        <v>-5.7647570871332807E-2</v>
      </c>
      <c r="V7" s="7">
        <f ca="1"/>
        <v>-0.10744080548465187</v>
      </c>
      <c r="W7" s="7">
        <f ca="1"/>
        <v>-9.4216247135226083E-2</v>
      </c>
      <c r="Z7" s="9" t="str">
        <v>XLE</v>
      </c>
      <c r="AA7">
        <f ca="1"/>
        <v>4.1975566398720831E-3</v>
      </c>
      <c r="AB7">
        <f ca="1"/>
        <v>3.2061854807828413E-3</v>
      </c>
      <c r="AC7">
        <f ca="1"/>
        <v>1.0718275594019678E-2</v>
      </c>
      <c r="AD7">
        <f ca="1"/>
        <v>5.0682368643451513E-3</v>
      </c>
      <c r="AE7">
        <f ca="1"/>
        <v>4.4219402062528517E-3</v>
      </c>
      <c r="AF7">
        <f ca="1"/>
        <v>2.9656918077784994E-3</v>
      </c>
      <c r="AG7">
        <f ca="1"/>
        <v>2.0479698541983104E-3</v>
      </c>
      <c r="AH7">
        <f ca="1"/>
        <v>2.5985458374788327E-3</v>
      </c>
      <c r="AI7">
        <f ca="1"/>
        <v>1.5286568214369432E-3</v>
      </c>
      <c r="AJ7">
        <f ca="1"/>
        <v>2.3341604846131283E-3</v>
      </c>
      <c r="AK7">
        <f ca="1"/>
        <v>3.5184493790222419E-3</v>
      </c>
      <c r="AM7" t="str">
        <v>XLI</v>
      </c>
      <c r="AN7">
        <f t="shared" ca="1" si="0"/>
        <v>1.1084142936644939E-2</v>
      </c>
      <c r="AP7" s="5">
        <v>1</v>
      </c>
      <c r="AQ7" s="5">
        <v>0</v>
      </c>
      <c r="AZ7" t="s">
        <v>7</v>
      </c>
      <c r="BA7" s="11">
        <v>0.09</v>
      </c>
      <c r="BB7" s="12">
        <f ca="1"/>
        <v>-0.35487540953998792</v>
      </c>
      <c r="BC7" s="12">
        <f ca="1"/>
        <v>-0.38548580635856516</v>
      </c>
      <c r="BD7" s="11">
        <f ca="1"/>
        <v>-0.4751936951027384</v>
      </c>
      <c r="BE7" s="14">
        <v>-0.57793103132729928</v>
      </c>
      <c r="BF7" s="23"/>
      <c r="BH7" s="6" t="s">
        <v>35</v>
      </c>
      <c r="BI7" s="12">
        <f ca="1">(1+BA18)^12 - 1</f>
        <v>0.14222600636262173</v>
      </c>
      <c r="BJ7" s="12">
        <f ca="1">(1+BB18)^12 - 1</f>
        <v>0.10192568219993237</v>
      </c>
      <c r="BK7" s="12">
        <f ca="1">(1+BC18)^12 - 1</f>
        <v>0.14222600636262173</v>
      </c>
      <c r="BL7" s="12">
        <f ca="1">(1+BE18)^12 - 1</f>
        <v>0.42814097295046372</v>
      </c>
    </row>
    <row r="8" spans="1:64" x14ac:dyDescent="0.2">
      <c r="A8" s="17">
        <v>43466</v>
      </c>
      <c r="B8" s="18">
        <v>6.2886608508420316E-2</v>
      </c>
      <c r="C8" s="18">
        <v>0.1211288017811387</v>
      </c>
      <c r="D8" s="18">
        <v>0.1225215512372009</v>
      </c>
      <c r="E8" s="18">
        <v>9.5790983358886583E-2</v>
      </c>
      <c r="F8" s="18">
        <v>0.1211521090095271</v>
      </c>
      <c r="G8" s="18">
        <v>7.4018738965980102E-2</v>
      </c>
      <c r="H8" s="18">
        <v>6.101924974232098E-2</v>
      </c>
      <c r="I8" s="18">
        <v>0.1204202966977117</v>
      </c>
      <c r="J8" s="18">
        <v>4.3558356894708661E-2</v>
      </c>
      <c r="K8" s="18">
        <v>5.2844117434715399E-2</v>
      </c>
      <c r="L8" s="18">
        <v>0.1029827629947306</v>
      </c>
      <c r="M8" s="7">
        <f ca="1"/>
        <v>5.2780863921239873E-2</v>
      </c>
      <c r="N8" s="7">
        <f ca="1"/>
        <v>0.11019569402531817</v>
      </c>
      <c r="O8" s="7">
        <f ca="1"/>
        <v>0.11158572667280645</v>
      </c>
      <c r="P8" s="7">
        <f ca="1"/>
        <v>8.5446658574281659E-2</v>
      </c>
      <c r="Q8" s="7">
        <f ca="1"/>
        <v>0.11006796607288216</v>
      </c>
      <c r="R8" s="7">
        <f ca="1"/>
        <v>5.5370391131521174E-2</v>
      </c>
      <c r="S8" s="7">
        <f ca="1"/>
        <v>5.2054005838315438E-2</v>
      </c>
      <c r="T8" s="7">
        <f ca="1"/>
        <v>0.11187742021613759</v>
      </c>
      <c r="U8" s="7">
        <f ca="1"/>
        <v>3.3940987484054011E-2</v>
      </c>
      <c r="V8" s="7">
        <f ca="1"/>
        <v>4.3035520570443436E-2</v>
      </c>
      <c r="W8" s="7">
        <f ca="1"/>
        <v>9.1922323936473718E-2</v>
      </c>
      <c r="Z8" s="9" t="str">
        <v>XLF</v>
      </c>
      <c r="AA8">
        <f ca="1"/>
        <v>3.4720907752645875E-3</v>
      </c>
      <c r="AB8">
        <f ca="1"/>
        <v>2.9485814088211614E-3</v>
      </c>
      <c r="AC8">
        <f ca="1"/>
        <v>5.0682368643451513E-3</v>
      </c>
      <c r="AD8">
        <f ca="1"/>
        <v>4.2475444895213928E-3</v>
      </c>
      <c r="AE8">
        <f ca="1"/>
        <v>3.6651007767205899E-3</v>
      </c>
      <c r="AF8">
        <f ca="1"/>
        <v>2.7697506153581426E-3</v>
      </c>
      <c r="AG8">
        <f ca="1"/>
        <v>1.8169697296934982E-3</v>
      </c>
      <c r="AH8">
        <f ca="1"/>
        <v>2.720443901172803E-3</v>
      </c>
      <c r="AI8">
        <f ca="1"/>
        <v>1.6246241336373144E-3</v>
      </c>
      <c r="AJ8">
        <f ca="1"/>
        <v>1.9593769671691161E-3</v>
      </c>
      <c r="AK8">
        <f ca="1"/>
        <v>3.1583090920819651E-3</v>
      </c>
      <c r="AM8" t="str">
        <v>XLK</v>
      </c>
      <c r="AN8">
        <f t="shared" ca="1" si="0"/>
        <v>1.8648347834458925E-2</v>
      </c>
      <c r="AP8" s="5">
        <v>1</v>
      </c>
      <c r="AQ8" s="5">
        <v>0</v>
      </c>
      <c r="AZ8" t="s">
        <v>8</v>
      </c>
      <c r="BA8" s="11">
        <v>0.12</v>
      </c>
      <c r="BB8" s="12">
        <f ca="1"/>
        <v>-0.17266180466254763</v>
      </c>
      <c r="BC8" s="12">
        <f ca="1"/>
        <v>0.20036330483635911</v>
      </c>
      <c r="BD8" s="11">
        <f ca="1"/>
        <v>1.2935636060294995</v>
      </c>
      <c r="BE8" s="14">
        <v>2.5455436545708419</v>
      </c>
      <c r="BF8" s="23"/>
    </row>
    <row r="9" spans="1:64" x14ac:dyDescent="0.2">
      <c r="A9" s="17">
        <v>43497</v>
      </c>
      <c r="B9" s="18">
        <v>3.1865061762713642E-2</v>
      </c>
      <c r="C9" s="18">
        <v>-4.5525202711117494E-3</v>
      </c>
      <c r="D9" s="18">
        <v>2.3047740513476581E-2</v>
      </c>
      <c r="E9" s="18">
        <v>2.2359214273955489E-2</v>
      </c>
      <c r="F9" s="18">
        <v>6.3675420180387299E-2</v>
      </c>
      <c r="G9" s="18">
        <v>6.9100975542180754E-2</v>
      </c>
      <c r="H9" s="18">
        <v>1.7793512924672239E-2</v>
      </c>
      <c r="I9" s="18">
        <v>1.106885954317316E-2</v>
      </c>
      <c r="J9" s="18">
        <v>4.1088329479446628E-2</v>
      </c>
      <c r="K9" s="18">
        <v>1.080865653845176E-2</v>
      </c>
      <c r="L9" s="18">
        <v>1.3145902103569361E-2</v>
      </c>
      <c r="M9" s="7">
        <f ca="1"/>
        <v>2.1759317175533196E-2</v>
      </c>
      <c r="N9" s="7">
        <f ca="1"/>
        <v>-1.5485628026932274E-2</v>
      </c>
      <c r="O9" s="7">
        <f ca="1"/>
        <v>1.2111915949082116E-2</v>
      </c>
      <c r="P9" s="7">
        <f ca="1"/>
        <v>1.2014889489350561E-2</v>
      </c>
      <c r="Q9" s="7">
        <f ca="1"/>
        <v>5.2591277243742358E-2</v>
      </c>
      <c r="R9" s="7">
        <f ca="1"/>
        <v>5.0452627707721825E-2</v>
      </c>
      <c r="S9" s="7">
        <f ca="1"/>
        <v>8.8282690206666955E-3</v>
      </c>
      <c r="T9" s="7">
        <f ca="1"/>
        <v>2.5259830615990374E-3</v>
      </c>
      <c r="U9" s="7">
        <f ca="1"/>
        <v>3.1470960068791978E-2</v>
      </c>
      <c r="V9" s="7">
        <f ca="1"/>
        <v>1.0000596741797964E-3</v>
      </c>
      <c r="W9" s="7">
        <f ca="1"/>
        <v>2.0854630453124873E-3</v>
      </c>
      <c r="Z9" s="9" t="str">
        <v>XLI</v>
      </c>
      <c r="AA9">
        <f ca="1"/>
        <v>3.5707310922489166E-3</v>
      </c>
      <c r="AB9">
        <f ca="1"/>
        <v>2.8624487979141138E-3</v>
      </c>
      <c r="AC9">
        <f ca="1"/>
        <v>4.4219402062528517E-3</v>
      </c>
      <c r="AD9">
        <f ca="1"/>
        <v>3.6651007767205899E-3</v>
      </c>
      <c r="AE9">
        <f ca="1"/>
        <v>3.9447139771505513E-3</v>
      </c>
      <c r="AF9">
        <f ca="1"/>
        <v>3.0593924354606209E-3</v>
      </c>
      <c r="AG9">
        <f ca="1"/>
        <v>1.9581074682365716E-3</v>
      </c>
      <c r="AH9">
        <f ca="1"/>
        <v>2.7740150557354821E-3</v>
      </c>
      <c r="AI9">
        <f ca="1"/>
        <v>1.7758044850646451E-3</v>
      </c>
      <c r="AJ9">
        <f ca="1"/>
        <v>2.1008143423026991E-3</v>
      </c>
      <c r="AK9">
        <f ca="1"/>
        <v>3.4207436179391508E-3</v>
      </c>
      <c r="AM9" t="str">
        <v>XLP</v>
      </c>
      <c r="AN9">
        <f t="shared" ca="1" si="0"/>
        <v>8.9652439040055435E-3</v>
      </c>
      <c r="AP9" s="5">
        <v>1</v>
      </c>
      <c r="AQ9" s="5">
        <v>0</v>
      </c>
      <c r="AZ9" t="s">
        <v>9</v>
      </c>
      <c r="BA9" s="11">
        <v>0.05</v>
      </c>
      <c r="BB9" s="12">
        <f ca="1"/>
        <v>0.75769582019130788</v>
      </c>
      <c r="BC9" s="12">
        <f ca="1"/>
        <v>0.62533378021413066</v>
      </c>
      <c r="BD9" s="11">
        <f ca="1"/>
        <v>0.2374290030693369</v>
      </c>
      <c r="BE9" s="14">
        <v>-0.20681624749371896</v>
      </c>
      <c r="BF9" s="24" t="s">
        <v>48</v>
      </c>
    </row>
    <row r="10" spans="1:64" x14ac:dyDescent="0.2">
      <c r="A10" s="17">
        <v>43525</v>
      </c>
      <c r="B10" s="18">
        <v>8.1742909722253287E-3</v>
      </c>
      <c r="C10" s="18">
        <v>1.8510669363587699E-2</v>
      </c>
      <c r="D10" s="18">
        <v>1.3333493814232881E-2</v>
      </c>
      <c r="E10" s="18">
        <v>-3.054323051036489E-2</v>
      </c>
      <c r="F10" s="18">
        <v>-1.7160100178597371E-2</v>
      </c>
      <c r="G10" s="18">
        <v>4.4312478112029208E-2</v>
      </c>
      <c r="H10" s="18">
        <v>3.2572853708405347E-2</v>
      </c>
      <c r="I10" s="18">
        <v>4.3503422573114132E-2</v>
      </c>
      <c r="J10" s="18">
        <v>2.034739776756234E-2</v>
      </c>
      <c r="K10" s="18">
        <v>1.091036809020673E-3</v>
      </c>
      <c r="L10" s="18">
        <v>3.3027992332669953E-2</v>
      </c>
      <c r="M10" s="7">
        <f ca="1"/>
        <v>-1.9314536149551177E-3</v>
      </c>
      <c r="N10" s="7">
        <f ca="1"/>
        <v>7.5775616077671751E-3</v>
      </c>
      <c r="O10" s="7">
        <f ca="1"/>
        <v>2.3976692498384154E-3</v>
      </c>
      <c r="P10" s="7">
        <f ca="1"/>
        <v>-4.0887555294969818E-2</v>
      </c>
      <c r="Q10" s="7">
        <f ca="1"/>
        <v>-2.8244243115242311E-2</v>
      </c>
      <c r="R10" s="7">
        <f ca="1"/>
        <v>2.5664130277570283E-2</v>
      </c>
      <c r="S10" s="7">
        <f ca="1"/>
        <v>2.3607609804399805E-2</v>
      </c>
      <c r="T10" s="7">
        <f ca="1"/>
        <v>3.4960546091540007E-2</v>
      </c>
      <c r="U10" s="7">
        <f ca="1"/>
        <v>1.0730028356907688E-2</v>
      </c>
      <c r="V10" s="7">
        <f ca="1"/>
        <v>-8.7175600552512906E-3</v>
      </c>
      <c r="W10" s="7">
        <f ca="1"/>
        <v>2.196755327441308E-2</v>
      </c>
      <c r="Z10" s="9" t="str">
        <v>XLK</v>
      </c>
      <c r="AA10">
        <f ca="1"/>
        <v>2.8791126523446844E-3</v>
      </c>
      <c r="AB10">
        <f ca="1"/>
        <v>3.2286768219387473E-3</v>
      </c>
      <c r="AC10">
        <f ca="1"/>
        <v>2.9656918077784994E-3</v>
      </c>
      <c r="AD10">
        <f ca="1"/>
        <v>2.7697506153581426E-3</v>
      </c>
      <c r="AE10">
        <f ca="1"/>
        <v>3.0593924354606209E-3</v>
      </c>
      <c r="AF10">
        <f ca="1"/>
        <v>4.0956789508285124E-3</v>
      </c>
      <c r="AG10">
        <f ca="1"/>
        <v>1.5895440163581356E-3</v>
      </c>
      <c r="AH10">
        <f ca="1"/>
        <v>2.5631818671324668E-3</v>
      </c>
      <c r="AI10">
        <f ca="1"/>
        <v>1.3362024255455561E-3</v>
      </c>
      <c r="AJ10">
        <f ca="1"/>
        <v>1.8769366043009323E-3</v>
      </c>
      <c r="AK10">
        <f ca="1"/>
        <v>3.7999812449893288E-3</v>
      </c>
      <c r="AM10" t="str">
        <v>XLRE</v>
      </c>
      <c r="AN10">
        <f t="shared" ca="1" si="0"/>
        <v>8.5428764815741222E-3</v>
      </c>
      <c r="AP10" s="5">
        <v>1</v>
      </c>
      <c r="AQ10" s="5">
        <v>0</v>
      </c>
      <c r="AZ10" t="s">
        <v>10</v>
      </c>
      <c r="BA10" s="11">
        <v>0.15</v>
      </c>
      <c r="BB10" s="12">
        <f ca="1"/>
        <v>-0.3055967560232809</v>
      </c>
      <c r="BC10" s="12">
        <f ca="1"/>
        <v>-0.32306652566319333</v>
      </c>
      <c r="BD10" s="11">
        <f ca="1"/>
        <v>-0.37426403742796932</v>
      </c>
      <c r="BE10" s="14">
        <v>-0.43289763201672321</v>
      </c>
      <c r="BF10" s="23"/>
    </row>
    <row r="11" spans="1:64" x14ac:dyDescent="0.2">
      <c r="A11" s="17">
        <v>43556</v>
      </c>
      <c r="B11" s="18">
        <v>3.9606525727794002E-2</v>
      </c>
      <c r="C11" s="18">
        <v>7.2446028118760664E-2</v>
      </c>
      <c r="D11" s="18">
        <v>7.6904276427494089E-3</v>
      </c>
      <c r="E11" s="18">
        <v>9.5412297693714621E-2</v>
      </c>
      <c r="F11" s="18">
        <v>4.571072830076317E-2</v>
      </c>
      <c r="G11" s="18">
        <v>6.7085205317106933E-2</v>
      </c>
      <c r="H11" s="18">
        <v>3.4150233682315179E-2</v>
      </c>
      <c r="I11" s="18">
        <v>4.5372281669897602E-4</v>
      </c>
      <c r="J11" s="18">
        <v>1.6768310310933291E-2</v>
      </c>
      <c r="K11" s="18">
        <v>-2.3516227544070008E-2</v>
      </c>
      <c r="L11" s="18">
        <v>5.8231714543565349E-2</v>
      </c>
      <c r="M11" s="7">
        <f ca="1"/>
        <v>2.9500781140613556E-2</v>
      </c>
      <c r="N11" s="7">
        <f ca="1"/>
        <v>6.1512920362940142E-2</v>
      </c>
      <c r="O11" s="7">
        <f ca="1"/>
        <v>-3.2453969216450565E-3</v>
      </c>
      <c r="P11" s="7">
        <f ca="1"/>
        <v>8.5067972909109696E-2</v>
      </c>
      <c r="Q11" s="7">
        <f ca="1"/>
        <v>3.462658536411823E-2</v>
      </c>
      <c r="R11" s="7">
        <f ca="1"/>
        <v>4.8436857482648005E-2</v>
      </c>
      <c r="S11" s="7">
        <f ca="1"/>
        <v>2.5184989778309637E-2</v>
      </c>
      <c r="T11" s="7">
        <f ca="1"/>
        <v>-8.0891536648751462E-3</v>
      </c>
      <c r="U11" s="7">
        <f ca="1"/>
        <v>7.1509409002786396E-3</v>
      </c>
      <c r="V11" s="7">
        <f ca="1"/>
        <v>-3.3324824408341974E-2</v>
      </c>
      <c r="W11" s="7">
        <f ca="1"/>
        <v>4.7171275485308473E-2</v>
      </c>
      <c r="Z11" s="9" t="str">
        <v>XLP</v>
      </c>
      <c r="AA11">
        <f ca="1"/>
        <v>1.9160074881606325E-3</v>
      </c>
      <c r="AB11">
        <f ca="1"/>
        <v>1.4595578781609767E-3</v>
      </c>
      <c r="AC11">
        <f ca="1"/>
        <v>2.0479698541983104E-3</v>
      </c>
      <c r="AD11">
        <f ca="1"/>
        <v>1.8169697296934982E-3</v>
      </c>
      <c r="AE11">
        <f ca="1"/>
        <v>1.9581074682365716E-3</v>
      </c>
      <c r="AF11">
        <f ca="1"/>
        <v>1.5895440163581356E-3</v>
      </c>
      <c r="AG11">
        <f ca="1"/>
        <v>1.6575641611266947E-3</v>
      </c>
      <c r="AH11">
        <f ca="1"/>
        <v>1.7429408793181425E-3</v>
      </c>
      <c r="AI11">
        <f ca="1"/>
        <v>1.4375136522032661E-3</v>
      </c>
      <c r="AJ11">
        <f ca="1"/>
        <v>1.3512632875282103E-3</v>
      </c>
      <c r="AK11">
        <f ca="1"/>
        <v>1.578026494555268E-3</v>
      </c>
      <c r="AM11" t="str">
        <v>XLU</v>
      </c>
      <c r="AN11">
        <f t="shared" ca="1" si="0"/>
        <v>9.6173694106546515E-3</v>
      </c>
      <c r="AP11" s="5">
        <v>1</v>
      </c>
      <c r="AQ11" s="5">
        <v>0</v>
      </c>
      <c r="AZ11" t="s">
        <v>11</v>
      </c>
      <c r="BA11" s="11">
        <v>0.03</v>
      </c>
      <c r="BB11" s="12">
        <f ca="1"/>
        <v>0.23810368470530827</v>
      </c>
      <c r="BC11" s="12">
        <f ca="1"/>
        <v>0.31783749345620355</v>
      </c>
      <c r="BD11" s="11">
        <f ca="1"/>
        <v>0.55150815401534126</v>
      </c>
      <c r="BE11" s="14">
        <v>0.81911785429645345</v>
      </c>
      <c r="BF11" s="25">
        <f ca="1">100%-BF6</f>
        <v>0.68732930032583694</v>
      </c>
    </row>
    <row r="12" spans="1:64" x14ac:dyDescent="0.2">
      <c r="A12" s="17">
        <v>43586</v>
      </c>
      <c r="B12" s="18">
        <v>-8.1810385984451894E-2</v>
      </c>
      <c r="C12" s="18">
        <v>-5.9516567993643348E-2</v>
      </c>
      <c r="D12" s="18">
        <v>-0.1110268975165217</v>
      </c>
      <c r="E12" s="18">
        <v>-7.173468007107453E-2</v>
      </c>
      <c r="F12" s="18">
        <v>-7.6400507895500569E-2</v>
      </c>
      <c r="G12" s="18">
        <v>-8.6647330118483912E-2</v>
      </c>
      <c r="H12" s="18">
        <v>-3.6388845276537518E-2</v>
      </c>
      <c r="I12" s="18">
        <v>1.221222105745623E-2</v>
      </c>
      <c r="J12" s="18">
        <v>-7.8350168339748061E-3</v>
      </c>
      <c r="K12" s="18">
        <v>-2.2182522182897849E-2</v>
      </c>
      <c r="L12" s="18">
        <v>-7.603872107147347E-2</v>
      </c>
      <c r="M12" s="7">
        <f ca="1"/>
        <v>-9.1916130571632337E-2</v>
      </c>
      <c r="N12" s="7">
        <f ca="1"/>
        <v>-7.0449675749463869E-2</v>
      </c>
      <c r="O12" s="7">
        <f ca="1"/>
        <v>-0.12196272208091616</v>
      </c>
      <c r="P12" s="7">
        <f ca="1"/>
        <v>-8.2079004855679455E-2</v>
      </c>
      <c r="Q12" s="7">
        <f ca="1"/>
        <v>-8.7484650832145502E-2</v>
      </c>
      <c r="R12" s="7">
        <f ca="1"/>
        <v>-0.10529567795294284</v>
      </c>
      <c r="S12" s="7">
        <f ca="1"/>
        <v>-4.535408918054306E-2</v>
      </c>
      <c r="T12" s="7">
        <f ca="1"/>
        <v>3.6693445758821074E-3</v>
      </c>
      <c r="U12" s="7">
        <f ca="1"/>
        <v>-1.7452386244629456E-2</v>
      </c>
      <c r="V12" s="7">
        <f ca="1"/>
        <v>-3.1991119047169815E-2</v>
      </c>
      <c r="W12" s="7">
        <f ca="1"/>
        <v>-8.7099160129730346E-2</v>
      </c>
      <c r="Z12" s="9" t="str">
        <v>XLRE</v>
      </c>
      <c r="AA12">
        <f ca="1"/>
        <v>2.8547230785517085E-3</v>
      </c>
      <c r="AB12">
        <f ca="1"/>
        <v>2.4689778098289377E-3</v>
      </c>
      <c r="AC12">
        <f ca="1"/>
        <v>2.5985458374788327E-3</v>
      </c>
      <c r="AD12">
        <f ca="1"/>
        <v>2.720443901172803E-3</v>
      </c>
      <c r="AE12">
        <f ca="1"/>
        <v>2.7740150557354821E-3</v>
      </c>
      <c r="AF12">
        <f ca="1"/>
        <v>2.5631818671324668E-3</v>
      </c>
      <c r="AG12">
        <f ca="1"/>
        <v>1.7429408793181425E-3</v>
      </c>
      <c r="AH12">
        <f ca="1"/>
        <v>3.4030715088642161E-3</v>
      </c>
      <c r="AI12">
        <f ca="1"/>
        <v>2.035230792994541E-3</v>
      </c>
      <c r="AJ12">
        <f ca="1"/>
        <v>1.8232971641966738E-3</v>
      </c>
      <c r="AK12">
        <f ca="1"/>
        <v>3.0992807582961748E-3</v>
      </c>
      <c r="AM12" t="str">
        <v>XLV</v>
      </c>
      <c r="AN12">
        <f t="shared" ca="1" si="0"/>
        <v>9.808596864271964E-3</v>
      </c>
      <c r="AP12" s="5">
        <v>1</v>
      </c>
      <c r="AQ12" s="5">
        <v>0</v>
      </c>
      <c r="AZ12" t="s">
        <v>12</v>
      </c>
      <c r="BA12" s="11">
        <v>0.04</v>
      </c>
      <c r="BB12" s="12">
        <f ca="1"/>
        <v>0.48122065293865351</v>
      </c>
      <c r="BC12" s="12">
        <f ca="1"/>
        <v>0.44928721194274657</v>
      </c>
      <c r="BD12" s="11">
        <f ca="1"/>
        <v>0.35570196412456423</v>
      </c>
      <c r="BE12" s="14">
        <v>0.24852410936338096</v>
      </c>
      <c r="BF12" s="23"/>
    </row>
    <row r="13" spans="1:64" x14ac:dyDescent="0.2">
      <c r="A13" s="17">
        <v>43617</v>
      </c>
      <c r="B13" s="18">
        <v>0.109004818370636</v>
      </c>
      <c r="C13" s="18">
        <v>4.5232303613059077E-2</v>
      </c>
      <c r="D13" s="18">
        <v>8.4056532017207308E-2</v>
      </c>
      <c r="E13" s="18">
        <v>6.1130560249705201E-2</v>
      </c>
      <c r="F13" s="18">
        <v>7.4531810842519697E-2</v>
      </c>
      <c r="G13" s="18">
        <v>8.5547542610633576E-2</v>
      </c>
      <c r="H13" s="18">
        <v>4.423666286303396E-2</v>
      </c>
      <c r="I13" s="18">
        <v>8.2258475478682591E-3</v>
      </c>
      <c r="J13" s="18">
        <v>2.3691057179378468E-2</v>
      </c>
      <c r="K13" s="18">
        <v>6.1411791641760687E-2</v>
      </c>
      <c r="L13" s="18">
        <v>7.4454649283600904E-2</v>
      </c>
      <c r="M13" s="7">
        <f ca="1"/>
        <v>9.8899073783455554E-2</v>
      </c>
      <c r="N13" s="7">
        <f ca="1"/>
        <v>3.4299195857238556E-2</v>
      </c>
      <c r="O13" s="7">
        <f ca="1"/>
        <v>7.312070745281285E-2</v>
      </c>
      <c r="P13" s="7">
        <f ca="1"/>
        <v>5.0786235465100277E-2</v>
      </c>
      <c r="Q13" s="7">
        <f ca="1"/>
        <v>6.3447667905874763E-2</v>
      </c>
      <c r="R13" s="7">
        <f ca="1"/>
        <v>6.6899194776174647E-2</v>
      </c>
      <c r="S13" s="7">
        <f ca="1"/>
        <v>3.5271418959028418E-2</v>
      </c>
      <c r="T13" s="7">
        <f ca="1"/>
        <v>-3.1702893370586308E-4</v>
      </c>
      <c r="U13" s="7">
        <f ca="1"/>
        <v>1.4073687768723817E-2</v>
      </c>
      <c r="V13" s="7">
        <f ca="1"/>
        <v>5.1603194777488724E-2</v>
      </c>
      <c r="W13" s="7">
        <f ca="1"/>
        <v>6.3394210225344028E-2</v>
      </c>
      <c r="Z13" s="9" t="str">
        <v>XLU</v>
      </c>
      <c r="AA13">
        <f ca="1"/>
        <v>1.9112656678353459E-3</v>
      </c>
      <c r="AB13">
        <f ca="1"/>
        <v>1.409472726509355E-3</v>
      </c>
      <c r="AC13">
        <f ca="1"/>
        <v>1.5286568214369432E-3</v>
      </c>
      <c r="AD13">
        <f ca="1"/>
        <v>1.6246241336373144E-3</v>
      </c>
      <c r="AE13">
        <f ca="1"/>
        <v>1.7758044850646451E-3</v>
      </c>
      <c r="AF13">
        <f ca="1"/>
        <v>1.3362024255455561E-3</v>
      </c>
      <c r="AG13">
        <f ca="1"/>
        <v>1.4375136522032661E-3</v>
      </c>
      <c r="AH13">
        <f ca="1"/>
        <v>2.035230792994541E-3</v>
      </c>
      <c r="AI13">
        <f ca="1"/>
        <v>2.4761472709185065E-3</v>
      </c>
      <c r="AJ13">
        <f ca="1"/>
        <v>1.2146078795663205E-3</v>
      </c>
      <c r="AK13">
        <f ca="1"/>
        <v>1.5544123921192796E-3</v>
      </c>
      <c r="AM13" t="str">
        <v>XLY</v>
      </c>
      <c r="AN13">
        <f t="shared" ca="1" si="0"/>
        <v>1.1060439058256873E-2</v>
      </c>
      <c r="AP13" s="5">
        <v>1</v>
      </c>
      <c r="AQ13" s="5">
        <v>0</v>
      </c>
      <c r="AZ13" t="s">
        <v>13</v>
      </c>
      <c r="BA13" s="11">
        <v>0.08</v>
      </c>
      <c r="BB13" s="12">
        <f ca="1"/>
        <v>0.30363848474578298</v>
      </c>
      <c r="BC13" s="12">
        <f ca="1"/>
        <v>0.13201434331059791</v>
      </c>
      <c r="BD13" s="11">
        <f ca="1"/>
        <v>-0.37095330774375423</v>
      </c>
      <c r="BE13" s="14">
        <v>-0.94697351510600714</v>
      </c>
      <c r="BF13" s="23"/>
    </row>
    <row r="14" spans="1:64" x14ac:dyDescent="0.2">
      <c r="A14" s="17">
        <v>43647</v>
      </c>
      <c r="B14" s="18">
        <v>3.2292513719518472E-3</v>
      </c>
      <c r="C14" s="18">
        <v>3.4169452594764893E-2</v>
      </c>
      <c r="D14" s="18">
        <v>-6.8701775959529856E-3</v>
      </c>
      <c r="E14" s="18">
        <v>2.876586788585711E-2</v>
      </c>
      <c r="F14" s="18">
        <v>9.5378301425614875E-3</v>
      </c>
      <c r="G14" s="18">
        <v>3.8638851762605057E-2</v>
      </c>
      <c r="H14" s="18">
        <v>3.1220216646027369E-2</v>
      </c>
      <c r="I14" s="18">
        <v>2.547598902143822E-2</v>
      </c>
      <c r="J14" s="18">
        <v>6.630461501967666E-3</v>
      </c>
      <c r="K14" s="18">
        <v>-1.19942308979929E-2</v>
      </c>
      <c r="L14" s="18">
        <v>1.6243134146263442E-2</v>
      </c>
      <c r="M14" s="7">
        <f ca="1"/>
        <v>-6.8764932152285997E-3</v>
      </c>
      <c r="N14" s="7">
        <f ca="1"/>
        <v>2.3236344838944371E-2</v>
      </c>
      <c r="O14" s="7">
        <f ca="1"/>
        <v>-1.7806002160347452E-2</v>
      </c>
      <c r="P14" s="7">
        <f ca="1"/>
        <v>1.8421543101252182E-2</v>
      </c>
      <c r="Q14" s="7">
        <f ca="1"/>
        <v>-1.5463127940834511E-3</v>
      </c>
      <c r="R14" s="7">
        <f ca="1"/>
        <v>1.9990503928146133E-2</v>
      </c>
      <c r="S14" s="7">
        <f ca="1"/>
        <v>2.2254972742021824E-2</v>
      </c>
      <c r="T14" s="7">
        <f ca="1"/>
        <v>1.6933112539864098E-2</v>
      </c>
      <c r="U14" s="7">
        <f ca="1"/>
        <v>-2.9869079086869855E-3</v>
      </c>
      <c r="V14" s="7">
        <f ca="1"/>
        <v>-2.1802827762264866E-2</v>
      </c>
      <c r="W14" s="7">
        <f ca="1"/>
        <v>5.1826950880065684E-3</v>
      </c>
      <c r="Z14" s="9" t="str">
        <v>XLV</v>
      </c>
      <c r="AA14">
        <f ca="1"/>
        <v>2.1080297296266776E-3</v>
      </c>
      <c r="AB14">
        <f ca="1"/>
        <v>1.6547941876416232E-3</v>
      </c>
      <c r="AC14">
        <f ca="1"/>
        <v>2.3341604846131283E-3</v>
      </c>
      <c r="AD14">
        <f ca="1"/>
        <v>1.9593769671691161E-3</v>
      </c>
      <c r="AE14">
        <f ca="1"/>
        <v>2.1008143423026991E-3</v>
      </c>
      <c r="AF14">
        <f ca="1"/>
        <v>1.8769366043009323E-3</v>
      </c>
      <c r="AG14">
        <f ca="1"/>
        <v>1.3512632875282103E-3</v>
      </c>
      <c r="AH14">
        <f ca="1"/>
        <v>1.8232971641966738E-3</v>
      </c>
      <c r="AI14">
        <f ca="1"/>
        <v>1.2146078795663205E-3</v>
      </c>
      <c r="AJ14">
        <f ca="1"/>
        <v>1.9679449603998401E-3</v>
      </c>
      <c r="AK14">
        <f ca="1"/>
        <v>1.9501709119151658E-3</v>
      </c>
      <c r="BB14" s="30"/>
      <c r="BD14"/>
      <c r="BE14"/>
      <c r="BF14" s="5"/>
    </row>
    <row r="15" spans="1:64" x14ac:dyDescent="0.2">
      <c r="A15" s="17">
        <v>43678</v>
      </c>
      <c r="B15" s="18">
        <v>-2.8282560611957549E-2</v>
      </c>
      <c r="C15" s="18">
        <v>-2.4616019233485661E-2</v>
      </c>
      <c r="D15" s="18">
        <v>-8.3253623495039286E-2</v>
      </c>
      <c r="E15" s="18">
        <v>-4.7079616470897423E-2</v>
      </c>
      <c r="F15" s="18">
        <v>-2.647134726483236E-2</v>
      </c>
      <c r="G15" s="18">
        <v>-1.5352222851279129E-2</v>
      </c>
      <c r="H15" s="18">
        <v>2.170617984064949E-2</v>
      </c>
      <c r="I15" s="18">
        <v>4.811587244593718E-2</v>
      </c>
      <c r="J15" s="18">
        <v>5.0881541563577048E-2</v>
      </c>
      <c r="K15" s="18">
        <v>-5.9249483946949288E-3</v>
      </c>
      <c r="L15" s="18">
        <v>-9.4431004289715625E-3</v>
      </c>
      <c r="M15" s="7">
        <f ca="1"/>
        <v>-3.8388305199137995E-2</v>
      </c>
      <c r="N15" s="7">
        <f ca="1"/>
        <v>-3.5549126989306186E-2</v>
      </c>
      <c r="O15" s="7">
        <f ca="1"/>
        <v>-9.4189448059433745E-2</v>
      </c>
      <c r="P15" s="7">
        <f ca="1"/>
        <v>-5.7423941255502348E-2</v>
      </c>
      <c r="Q15" s="7">
        <f ca="1"/>
        <v>-3.7555490201477297E-2</v>
      </c>
      <c r="R15" s="7">
        <f ca="1"/>
        <v>-3.4000570685738057E-2</v>
      </c>
      <c r="S15" s="7">
        <f ca="1"/>
        <v>1.2740935936643947E-2</v>
      </c>
      <c r="T15" s="7">
        <f ca="1"/>
        <v>3.9572995964363061E-2</v>
      </c>
      <c r="U15" s="7">
        <f ca="1"/>
        <v>4.1264172152922399E-2</v>
      </c>
      <c r="V15" s="7">
        <f ca="1"/>
        <v>-1.5733545258966891E-2</v>
      </c>
      <c r="W15" s="7">
        <f ca="1"/>
        <v>-2.0503539487228436E-2</v>
      </c>
      <c r="Z15" s="9" t="str">
        <v>XLY</v>
      </c>
      <c r="AA15">
        <f ca="1"/>
        <v>3.4107574252195648E-3</v>
      </c>
      <c r="AB15">
        <f ca="1"/>
        <v>3.2640343948090612E-3</v>
      </c>
      <c r="AC15">
        <f ca="1"/>
        <v>3.5184493790222419E-3</v>
      </c>
      <c r="AD15">
        <f ca="1"/>
        <v>3.1583090920819651E-3</v>
      </c>
      <c r="AE15">
        <f ca="1"/>
        <v>3.4207436179391508E-3</v>
      </c>
      <c r="AF15">
        <f ca="1"/>
        <v>3.7999812449893288E-3</v>
      </c>
      <c r="AG15">
        <f ca="1"/>
        <v>1.578026494555268E-3</v>
      </c>
      <c r="AH15">
        <f ca="1"/>
        <v>3.0992807582961748E-3</v>
      </c>
      <c r="AI15">
        <f ca="1"/>
        <v>1.5544123921192796E-3</v>
      </c>
      <c r="AJ15">
        <f ca="1"/>
        <v>1.9501709119151658E-3</v>
      </c>
      <c r="AK15">
        <f ca="1"/>
        <v>4.6707974038339099E-3</v>
      </c>
      <c r="AZ15" s="6" t="s">
        <v>32</v>
      </c>
      <c r="BA15" s="11">
        <f>SUM(ORIPORT)</f>
        <v>1.0000000000000002</v>
      </c>
      <c r="BB15" s="11">
        <f ca="1">SUM(GMVPORT)</f>
        <v>1</v>
      </c>
      <c r="BC15" s="11">
        <f ca="1">SUM(EPPORT1)</f>
        <v>1</v>
      </c>
      <c r="BD15" s="11">
        <f ca="1">SUM(EPORT2)</f>
        <v>0.99999999999999989</v>
      </c>
      <c r="BE15" s="11">
        <f>SUM(ORP)</f>
        <v>1.0000000000000009</v>
      </c>
      <c r="BF15" s="26"/>
    </row>
    <row r="16" spans="1:64" x14ac:dyDescent="0.2">
      <c r="A16" s="17">
        <v>43709</v>
      </c>
      <c r="B16" s="18">
        <v>2.663610730729005E-2</v>
      </c>
      <c r="C16" s="18">
        <v>-2.0184444957249689E-4</v>
      </c>
      <c r="D16" s="18">
        <v>2.9923474587677971E-2</v>
      </c>
      <c r="E16" s="18">
        <v>4.011872783917636E-2</v>
      </c>
      <c r="F16" s="18">
        <v>2.4683033733398752E-2</v>
      </c>
      <c r="G16" s="18">
        <v>1.2573884379405429E-2</v>
      </c>
      <c r="H16" s="18">
        <v>1.1528356911619349E-2</v>
      </c>
      <c r="I16" s="18">
        <v>3.315414969916386E-3</v>
      </c>
      <c r="J16" s="18">
        <v>3.4515694372354799E-2</v>
      </c>
      <c r="K16" s="18">
        <v>-5.1876035897000516E-3</v>
      </c>
      <c r="L16" s="18">
        <v>9.3660615266697445E-3</v>
      </c>
      <c r="M16" s="7">
        <f ca="1"/>
        <v>1.6530362720109604E-2</v>
      </c>
      <c r="N16" s="7">
        <f ca="1"/>
        <v>-1.113495220539302E-2</v>
      </c>
      <c r="O16" s="7">
        <f ca="1"/>
        <v>1.8987650023283505E-2</v>
      </c>
      <c r="P16" s="7">
        <f ca="1"/>
        <v>2.9774403054571432E-2</v>
      </c>
      <c r="Q16" s="7">
        <f ca="1"/>
        <v>1.3598890796753813E-2</v>
      </c>
      <c r="R16" s="7">
        <f ca="1"/>
        <v>-6.0744634550534953E-3</v>
      </c>
      <c r="S16" s="7">
        <f ca="1"/>
        <v>2.563113007613806E-3</v>
      </c>
      <c r="T16" s="7">
        <f ca="1"/>
        <v>-5.2274615116577362E-3</v>
      </c>
      <c r="U16" s="7">
        <f ca="1"/>
        <v>2.489832496170015E-2</v>
      </c>
      <c r="V16" s="7">
        <f ca="1"/>
        <v>-1.4996200453972016E-2</v>
      </c>
      <c r="W16" s="7">
        <f ca="1"/>
        <v>-1.6943775315871289E-3</v>
      </c>
      <c r="AZ16" s="53" t="s">
        <v>33</v>
      </c>
      <c r="BA16" s="54" cm="1">
        <f t="array" aca="1" ref="BA16" ca="1">MMULT(MMULT(TRANSPOSE(ORIPORT),COVMAT),ORIPORT)</f>
        <v>2.9125708277989771E-3</v>
      </c>
      <c r="BB16" s="54" cm="1">
        <f t="array" aca="1" ref="BB16" ca="1">MMULT(MMULT(TRANSPOSE(GMVPORT),COVMAT),GMVPORT)</f>
        <v>1.2091282606442268E-3</v>
      </c>
      <c r="BC16" s="54" cm="1">
        <f t="array" aca="1" ref="BC16" ca="1">MMULT(MMULT(TRANSPOSE(EPPORT),COVMAT),EPPORT)</f>
        <v>1.2983403498925132E-3</v>
      </c>
      <c r="BD16" s="54" cm="1">
        <f t="array" aca="1" ref="BD16" ca="1">MMULT(MMULT(TRANSPOSE(EPPORT2),COVMAT),EPPORT2)</f>
        <v>2.5874450959973961E-3</v>
      </c>
      <c r="BE16" s="54" cm="1">
        <f t="array" aca="1" ref="BE16" ca="1">MMULT(MMULT(TRANSPOSE(ORP),COVMAT),ORP)</f>
        <v>5.9462237352159953E-3</v>
      </c>
      <c r="BF16" s="12"/>
    </row>
    <row r="17" spans="1:66" x14ac:dyDescent="0.2">
      <c r="A17" s="17">
        <v>43739</v>
      </c>
      <c r="B17" s="18">
        <v>4.8549612686192836E-3</v>
      </c>
      <c r="C17" s="18">
        <v>2.4597356572239711E-2</v>
      </c>
      <c r="D17" s="18">
        <v>-1.19915225291205E-2</v>
      </c>
      <c r="E17" s="18">
        <v>3.022569692628152E-2</v>
      </c>
      <c r="F17" s="18">
        <v>1.6695814442382991E-2</v>
      </c>
      <c r="G17" s="18">
        <v>4.2228620296805852E-2</v>
      </c>
      <c r="H17" s="18">
        <v>1.657971792076385E-3</v>
      </c>
      <c r="I17" s="18">
        <v>6.4383986883365107E-3</v>
      </c>
      <c r="J17" s="18">
        <v>1.065685780980985E-4</v>
      </c>
      <c r="K17" s="18">
        <v>5.562567388374573E-2</v>
      </c>
      <c r="L17" s="18">
        <v>4.5641782467438219E-3</v>
      </c>
      <c r="M17" s="7">
        <f ca="1"/>
        <v>-5.2507833185611629E-3</v>
      </c>
      <c r="N17" s="7">
        <f ca="1"/>
        <v>1.3664248816419188E-2</v>
      </c>
      <c r="O17" s="7">
        <f ca="1"/>
        <v>-2.2927347093514967E-2</v>
      </c>
      <c r="P17" s="7">
        <f ca="1"/>
        <v>1.9881372141676592E-2</v>
      </c>
      <c r="Q17" s="7">
        <f ca="1"/>
        <v>5.6116715057380525E-3</v>
      </c>
      <c r="R17" s="7">
        <f ca="1"/>
        <v>2.3580272462346927E-2</v>
      </c>
      <c r="S17" s="7">
        <f ca="1"/>
        <v>-7.3072721119291587E-3</v>
      </c>
      <c r="T17" s="7">
        <f ca="1"/>
        <v>-2.1044777932376114E-3</v>
      </c>
      <c r="U17" s="7">
        <f ca="1"/>
        <v>-9.510800832556553E-3</v>
      </c>
      <c r="V17" s="7">
        <f ca="1"/>
        <v>4.5817077019473768E-2</v>
      </c>
      <c r="W17" s="7">
        <f ca="1"/>
        <v>-6.4962608115130514E-3</v>
      </c>
      <c r="AZ17" s="53" t="s">
        <v>34</v>
      </c>
      <c r="BA17" s="54">
        <f ca="1">SQRT(BA16)</f>
        <v>5.3968239065203684E-2</v>
      </c>
      <c r="BB17" s="54">
        <f t="shared" ref="BB17:BC17" ca="1" si="1">SQRT(BB16)</f>
        <v>3.4772521631947065E-2</v>
      </c>
      <c r="BC17" s="54">
        <f t="shared" ca="1" si="1"/>
        <v>3.6032490198326751E-2</v>
      </c>
      <c r="BD17" s="54">
        <f ca="1">SQRT(BD16)</f>
        <v>5.0866935193673662E-2</v>
      </c>
      <c r="BE17" s="54">
        <f ca="1">SQRT(BE16)</f>
        <v>7.7111761328710393E-2</v>
      </c>
      <c r="BF17" s="26"/>
    </row>
    <row r="18" spans="1:66" x14ac:dyDescent="0.2">
      <c r="A18" s="17">
        <v>43770</v>
      </c>
      <c r="B18" s="18">
        <v>3.1792482726273663E-2</v>
      </c>
      <c r="C18" s="18">
        <v>3.8324908797713109E-2</v>
      </c>
      <c r="D18" s="18">
        <v>1.6045484350240669E-2</v>
      </c>
      <c r="E18" s="18">
        <v>5.0522546580259453E-2</v>
      </c>
      <c r="F18" s="18">
        <v>4.4962656586510663E-2</v>
      </c>
      <c r="G18" s="18">
        <v>5.3663327087670083E-2</v>
      </c>
      <c r="H18" s="18">
        <v>1.373437067949523E-2</v>
      </c>
      <c r="I18" s="18">
        <v>-1.7289802607072909E-2</v>
      </c>
      <c r="J18" s="18">
        <v>-1.8677024223567758E-2</v>
      </c>
      <c r="K18" s="18">
        <v>5.0026133683396701E-2</v>
      </c>
      <c r="L18" s="18">
        <v>1.323957358506722E-2</v>
      </c>
      <c r="M18" s="7">
        <f ca="1"/>
        <v>2.1686738139093217E-2</v>
      </c>
      <c r="N18" s="7">
        <f ca="1"/>
        <v>2.7391801041892587E-2</v>
      </c>
      <c r="O18" s="7">
        <f ca="1"/>
        <v>5.1096597858462031E-3</v>
      </c>
      <c r="P18" s="7">
        <f ca="1"/>
        <v>4.0178221795654528E-2</v>
      </c>
      <c r="Q18" s="7">
        <f ca="1"/>
        <v>3.3878513649865723E-2</v>
      </c>
      <c r="R18" s="7">
        <f ca="1"/>
        <v>3.5014979253211162E-2</v>
      </c>
      <c r="S18" s="7">
        <f ca="1"/>
        <v>4.7691267754896866E-3</v>
      </c>
      <c r="T18" s="7">
        <f ca="1"/>
        <v>-2.5832679088647031E-2</v>
      </c>
      <c r="U18" s="7">
        <f ca="1"/>
        <v>-2.8294393634222412E-2</v>
      </c>
      <c r="V18" s="7">
        <f ca="1"/>
        <v>4.0217536819124738E-2</v>
      </c>
      <c r="W18" s="7">
        <f ca="1"/>
        <v>2.1791345268103463E-3</v>
      </c>
      <c r="AZ18" s="53" t="s">
        <v>35</v>
      </c>
      <c r="BA18" s="54" cm="1">
        <f t="array" aca="1" ref="BA18" ca="1">MMULT(TRANSPOSE(ORIPORT),MUVEC)</f>
        <v>1.1143211146830511E-2</v>
      </c>
      <c r="BB18" s="54" cm="1">
        <f t="array" aca="1" ref="BB18" ca="1">MMULT(TRANSPOSE(GMVPORT),MUVEC)</f>
        <v>8.1210708966344483E-3</v>
      </c>
      <c r="BC18" s="54" cm="1">
        <f t="array" aca="1" ref="BC18" ca="1">MMULT(TRANSPOSE(EPPORT),MUVEC)</f>
        <v>1.1143211146830511E-2</v>
      </c>
      <c r="BD18" s="54" cm="1">
        <f t="array" aca="1" ref="BD18" ca="1">MMULT(TRANSPOSE(EPPORT),MUVEC)</f>
        <v>1.1143211146830511E-2</v>
      </c>
      <c r="BE18" s="54" cm="1">
        <f t="array" aca="1" ref="BE18" ca="1">MMULT(TRANSPOSE(ORP),MUVEC)</f>
        <v>3.0143175890282266E-2</v>
      </c>
      <c r="BF18" s="27"/>
    </row>
    <row r="19" spans="1:66" x14ac:dyDescent="0.2">
      <c r="A19" s="17">
        <v>43800</v>
      </c>
      <c r="B19" s="18">
        <v>2.298460756638487E-2</v>
      </c>
      <c r="C19" s="18">
        <v>2.035771805052566E-2</v>
      </c>
      <c r="D19" s="18">
        <v>1.952792806059556E-2</v>
      </c>
      <c r="E19" s="18">
        <v>2.0895629352397641E-2</v>
      </c>
      <c r="F19" s="18">
        <v>-6.9480706337672338E-3</v>
      </c>
      <c r="G19" s="18">
        <v>3.9813915537658888E-2</v>
      </c>
      <c r="H19" s="18">
        <v>1.5806447691701479E-2</v>
      </c>
      <c r="I19" s="18">
        <v>5.1746369898708622E-4</v>
      </c>
      <c r="J19" s="18">
        <v>2.4900922144998061E-2</v>
      </c>
      <c r="K19" s="18">
        <v>2.3821626165666299E-2</v>
      </c>
      <c r="L19" s="18">
        <v>2.4254621527240779E-2</v>
      </c>
      <c r="M19" s="7">
        <f ca="1"/>
        <v>1.2878862979204424E-2</v>
      </c>
      <c r="N19" s="7">
        <f ca="1"/>
        <v>9.424610294705137E-3</v>
      </c>
      <c r="O19" s="7">
        <f ca="1"/>
        <v>8.5921034962010943E-3</v>
      </c>
      <c r="P19" s="7">
        <f ca="1"/>
        <v>1.0551304567792713E-2</v>
      </c>
      <c r="Q19" s="7">
        <f ca="1"/>
        <v>-1.8032213570412174E-2</v>
      </c>
      <c r="R19" s="7">
        <f ca="1"/>
        <v>2.1165567703199963E-2</v>
      </c>
      <c r="S19" s="7">
        <f ca="1"/>
        <v>6.8412037876959351E-3</v>
      </c>
      <c r="T19" s="7">
        <f ca="1"/>
        <v>-8.025412782587036E-3</v>
      </c>
      <c r="U19" s="7">
        <f ca="1"/>
        <v>1.528355273434341E-2</v>
      </c>
      <c r="V19" s="7">
        <f ca="1"/>
        <v>1.4013029301394335E-2</v>
      </c>
      <c r="W19" s="7">
        <f ca="1"/>
        <v>1.3194182468983906E-2</v>
      </c>
      <c r="Z19" s="64" t="s">
        <v>28</v>
      </c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Z19" s="53" t="s">
        <v>36</v>
      </c>
      <c r="BA19" s="55">
        <f ca="1">(BA18-$AT$2)/BA17</f>
        <v>0.16015366253451224</v>
      </c>
      <c r="BB19" s="55">
        <f t="shared" ref="BB19" ca="1" si="2">(BB18-$AT$2)/BB17</f>
        <v>0.16165266805011114</v>
      </c>
      <c r="BC19" s="56">
        <f ca="1">(BC18-$AT$2)/BC17</f>
        <v>0.2398727120789414</v>
      </c>
      <c r="BD19" s="57">
        <f ca="1">(BD18-$AT$2)/BD17</f>
        <v>0.16991806394314612</v>
      </c>
      <c r="BE19" s="58">
        <f ca="1">(BE18-$AT$2)/BE17</f>
        <v>0.35848196713398256</v>
      </c>
    </row>
    <row r="20" spans="1:66" x14ac:dyDescent="0.2">
      <c r="A20" s="17">
        <v>43831</v>
      </c>
      <c r="B20" s="18">
        <v>-5.6533651528270279E-2</v>
      </c>
      <c r="C20" s="18">
        <v>7.4083770938808691E-3</v>
      </c>
      <c r="D20" s="18">
        <v>-7.4364731283432461E-2</v>
      </c>
      <c r="E20" s="18">
        <v>-2.1685615332337042E-2</v>
      </c>
      <c r="F20" s="18">
        <v>5.3040331204456947E-4</v>
      </c>
      <c r="G20" s="18">
        <v>4.331864975000177E-2</v>
      </c>
      <c r="H20" s="18">
        <v>1.1393148782445911E-2</v>
      </c>
      <c r="I20" s="18">
        <v>2.552275038097962E-2</v>
      </c>
      <c r="J20" s="18">
        <v>7.5808292923848386E-2</v>
      </c>
      <c r="K20" s="18">
        <v>-1.6311526665835911E-2</v>
      </c>
      <c r="L20" s="18">
        <v>2.4969828812286821E-3</v>
      </c>
      <c r="M20" s="7">
        <f ca="1"/>
        <v>-6.6639396115450722E-2</v>
      </c>
      <c r="N20" s="7">
        <f ca="1"/>
        <v>-3.5247306619396544E-3</v>
      </c>
      <c r="O20" s="7">
        <f ca="1"/>
        <v>-8.530055584782692E-2</v>
      </c>
      <c r="P20" s="7">
        <f ca="1"/>
        <v>-3.202994011694197E-2</v>
      </c>
      <c r="Q20" s="7">
        <f ca="1"/>
        <v>-1.0553739624600369E-2</v>
      </c>
      <c r="R20" s="7">
        <f ca="1"/>
        <v>2.4670301915542845E-2</v>
      </c>
      <c r="S20" s="7">
        <f ca="1"/>
        <v>2.4279048784403671E-3</v>
      </c>
      <c r="T20" s="7">
        <f ca="1"/>
        <v>1.6979873899405497E-2</v>
      </c>
      <c r="U20" s="7">
        <f ca="1"/>
        <v>6.6190923513193736E-2</v>
      </c>
      <c r="V20" s="7">
        <f ca="1"/>
        <v>-2.6120123530107876E-2</v>
      </c>
      <c r="W20" s="7">
        <f ca="1"/>
        <v>-8.5634561770281913E-3</v>
      </c>
      <c r="Z20" s="9"/>
      <c r="AA20" s="9" t="str" cm="1">
        <f t="array" ref="AA20:AK20">ETF</f>
        <v>XLB</v>
      </c>
      <c r="AB20" s="9" t="str">
        <v>XLC</v>
      </c>
      <c r="AC20" s="9" t="str">
        <v>XLE</v>
      </c>
      <c r="AD20" s="9" t="str">
        <v>XLF</v>
      </c>
      <c r="AE20" s="9" t="str">
        <v>XLI</v>
      </c>
      <c r="AF20" s="9" t="str">
        <v>XLK</v>
      </c>
      <c r="AG20" s="9" t="str">
        <v>XLP</v>
      </c>
      <c r="AH20" s="9" t="str">
        <v>XLRE</v>
      </c>
      <c r="AI20" s="9" t="str">
        <v>XLU</v>
      </c>
      <c r="AJ20" s="9" t="str">
        <v>XLV</v>
      </c>
      <c r="AK20" s="9" t="str">
        <v>XLY</v>
      </c>
      <c r="BD20"/>
      <c r="BE20"/>
    </row>
    <row r="21" spans="1:66" x14ac:dyDescent="0.2">
      <c r="A21" s="17">
        <v>43862</v>
      </c>
      <c r="B21" s="18">
        <v>-8.5198559903614579E-2</v>
      </c>
      <c r="C21" s="18">
        <v>-5.8430848099031867E-2</v>
      </c>
      <c r="D21" s="18">
        <v>-0.15288175735341039</v>
      </c>
      <c r="E21" s="18">
        <v>-0.11248329730881231</v>
      </c>
      <c r="F21" s="18">
        <v>-9.9001452471596529E-2</v>
      </c>
      <c r="G21" s="18">
        <v>-7.300967636700062E-2</v>
      </c>
      <c r="H21" s="18">
        <v>-8.2146234718886602E-2</v>
      </c>
      <c r="I21" s="18">
        <v>-6.2197248870962452E-2</v>
      </c>
      <c r="J21" s="18">
        <v>-9.8579417261644986E-2</v>
      </c>
      <c r="K21" s="18">
        <v>-6.586645036149763E-2</v>
      </c>
      <c r="L21" s="18">
        <v>-7.5726084763838575E-2</v>
      </c>
      <c r="M21" s="7">
        <f ca="1"/>
        <v>-9.5304304490795022E-2</v>
      </c>
      <c r="N21" s="7">
        <f ca="1"/>
        <v>-6.9363955854852388E-2</v>
      </c>
      <c r="O21" s="7">
        <f ca="1"/>
        <v>-0.16381758191780485</v>
      </c>
      <c r="P21" s="7">
        <f ca="1"/>
        <v>-0.12282762209341723</v>
      </c>
      <c r="Q21" s="7">
        <f ca="1"/>
        <v>-0.11008559540824146</v>
      </c>
      <c r="R21" s="7">
        <f ca="1"/>
        <v>-9.1658024201459548E-2</v>
      </c>
      <c r="S21" s="7">
        <f ca="1"/>
        <v>-9.111147862289215E-2</v>
      </c>
      <c r="T21" s="7">
        <f ca="1"/>
        <v>-7.074012535253657E-2</v>
      </c>
      <c r="U21" s="7">
        <f ca="1"/>
        <v>-0.10819678667229964</v>
      </c>
      <c r="V21" s="7">
        <f ca="1"/>
        <v>-7.5675047225769593E-2</v>
      </c>
      <c r="W21" s="7">
        <f ca="1"/>
        <v>-8.6786523822095452E-2</v>
      </c>
      <c r="Z21" s="9" t="str" cm="1">
        <f t="array" ref="Z21:Z31">TRANSPOSE(ETF)</f>
        <v>XLB</v>
      </c>
      <c r="AA21" cm="1">
        <f t="array" aca="1" ref="AA21:AK31" ca="1">2*COVMAT</f>
        <v>7.8164281368157795E-3</v>
      </c>
      <c r="AB21">
        <f ca="1"/>
        <v>5.5900211486607718E-3</v>
      </c>
      <c r="AC21">
        <f ca="1"/>
        <v>8.3951132797441663E-3</v>
      </c>
      <c r="AD21">
        <f ca="1"/>
        <v>6.944181550529175E-3</v>
      </c>
      <c r="AE21">
        <f ca="1"/>
        <v>7.1414621844978331E-3</v>
      </c>
      <c r="AF21">
        <f ca="1"/>
        <v>5.7582253046893688E-3</v>
      </c>
      <c r="AG21">
        <f ca="1"/>
        <v>3.8320149763212651E-3</v>
      </c>
      <c r="AH21">
        <f ca="1"/>
        <v>5.709446157103417E-3</v>
      </c>
      <c r="AI21">
        <f ca="1"/>
        <v>3.8225313356706919E-3</v>
      </c>
      <c r="AJ21">
        <f ca="1"/>
        <v>4.2160594592533553E-3</v>
      </c>
      <c r="AK21">
        <f ca="1"/>
        <v>6.8215148504391296E-3</v>
      </c>
      <c r="BB21" s="61" t="s">
        <v>173</v>
      </c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</row>
    <row r="22" spans="1:66" x14ac:dyDescent="0.2">
      <c r="A22" s="17">
        <v>43891</v>
      </c>
      <c r="B22" s="18">
        <v>-0.1456753478886699</v>
      </c>
      <c r="C22" s="18">
        <v>-0.12844751751748931</v>
      </c>
      <c r="D22" s="18">
        <v>-0.35807378056912331</v>
      </c>
      <c r="E22" s="18">
        <v>-0.21699895218696011</v>
      </c>
      <c r="F22" s="18">
        <v>-0.1925287842814325</v>
      </c>
      <c r="G22" s="18">
        <v>-9.0528609668086957E-2</v>
      </c>
      <c r="H22" s="18">
        <v>-6.0700131760807352E-2</v>
      </c>
      <c r="I22" s="18">
        <v>-0.15737984719619441</v>
      </c>
      <c r="J22" s="18">
        <v>-0.10887739383301639</v>
      </c>
      <c r="K22" s="18">
        <v>-4.351560159146306E-2</v>
      </c>
      <c r="L22" s="18">
        <v>-0.15324165568693121</v>
      </c>
      <c r="M22" s="7">
        <f ca="1"/>
        <v>-0.15578109247585034</v>
      </c>
      <c r="N22" s="7">
        <f ca="1"/>
        <v>-0.13938062527330983</v>
      </c>
      <c r="O22" s="7">
        <f ca="1"/>
        <v>-0.36900960513351777</v>
      </c>
      <c r="P22" s="7">
        <f ca="1"/>
        <v>-0.22734327697156503</v>
      </c>
      <c r="Q22" s="7">
        <f ca="1"/>
        <v>-0.20361292721807744</v>
      </c>
      <c r="R22" s="7">
        <f ca="1"/>
        <v>-0.10917695750254588</v>
      </c>
      <c r="S22" s="7">
        <f ca="1"/>
        <v>-6.9665375664812901E-2</v>
      </c>
      <c r="T22" s="7">
        <f ca="1"/>
        <v>-0.16592272367776853</v>
      </c>
      <c r="U22" s="7">
        <f ca="1"/>
        <v>-0.11849476324367104</v>
      </c>
      <c r="V22" s="7">
        <f ca="1"/>
        <v>-5.3324198455735022E-2</v>
      </c>
      <c r="W22" s="7">
        <f ca="1"/>
        <v>-0.16430209474518809</v>
      </c>
      <c r="Z22" s="9" t="str">
        <v>XLC</v>
      </c>
      <c r="AA22">
        <f ca="1"/>
        <v>5.5900211486607718E-3</v>
      </c>
      <c r="AB22">
        <f ca="1"/>
        <v>6.9693846194106533E-3</v>
      </c>
      <c r="AC22">
        <f ca="1"/>
        <v>6.4123709615656827E-3</v>
      </c>
      <c r="AD22">
        <f ca="1"/>
        <v>5.8971628176423228E-3</v>
      </c>
      <c r="AE22">
        <f ca="1"/>
        <v>5.7248975958282275E-3</v>
      </c>
      <c r="AF22">
        <f ca="1"/>
        <v>6.4573536438774946E-3</v>
      </c>
      <c r="AG22">
        <f ca="1"/>
        <v>2.9191157563219533E-3</v>
      </c>
      <c r="AH22">
        <f ca="1"/>
        <v>4.9379556196578753E-3</v>
      </c>
      <c r="AI22">
        <f ca="1"/>
        <v>2.81894545301871E-3</v>
      </c>
      <c r="AJ22">
        <f ca="1"/>
        <v>3.3095883752832463E-3</v>
      </c>
      <c r="AK22">
        <f ca="1"/>
        <v>6.5280687896181223E-3</v>
      </c>
      <c r="BD22"/>
      <c r="BE22"/>
    </row>
    <row r="23" spans="1:66" x14ac:dyDescent="0.2">
      <c r="A23" s="17">
        <v>43922</v>
      </c>
      <c r="B23" s="18">
        <v>0.15956108517063969</v>
      </c>
      <c r="C23" s="18">
        <v>0.13973029813256879</v>
      </c>
      <c r="D23" s="18">
        <v>0.33690038550392282</v>
      </c>
      <c r="E23" s="18">
        <v>0.10390247162171851</v>
      </c>
      <c r="F23" s="18">
        <v>9.6569295607682681E-2</v>
      </c>
      <c r="G23" s="18">
        <v>0.14330379610636171</v>
      </c>
      <c r="H23" s="18">
        <v>7.5704850338765839E-2</v>
      </c>
      <c r="I23" s="18">
        <v>0.1023921297076322</v>
      </c>
      <c r="J23" s="18">
        <v>4.3732999909271493E-2</v>
      </c>
      <c r="K23" s="18">
        <v>0.1313389977188768</v>
      </c>
      <c r="L23" s="18">
        <v>0.19459338039894969</v>
      </c>
      <c r="M23" s="7">
        <f ca="1"/>
        <v>0.14945534058345925</v>
      </c>
      <c r="N23" s="7">
        <f ca="1"/>
        <v>0.12879719037674828</v>
      </c>
      <c r="O23" s="7">
        <f ca="1"/>
        <v>0.32596456093952836</v>
      </c>
      <c r="P23" s="7">
        <f ca="1"/>
        <v>9.3558146837113582E-2</v>
      </c>
      <c r="Q23" s="7">
        <f ca="1"/>
        <v>8.5485152671037748E-2</v>
      </c>
      <c r="R23" s="7">
        <f ca="1"/>
        <v>0.12465544827190278</v>
      </c>
      <c r="S23" s="7">
        <f ca="1"/>
        <v>6.673960643476029E-2</v>
      </c>
      <c r="T23" s="7">
        <f ca="1"/>
        <v>9.3849253226058083E-2</v>
      </c>
      <c r="U23" s="7">
        <f ca="1"/>
        <v>3.4115630498616843E-2</v>
      </c>
      <c r="V23" s="7">
        <f ca="1"/>
        <v>0.12153040085460484</v>
      </c>
      <c r="W23" s="7">
        <f ca="1"/>
        <v>0.18353294134069281</v>
      </c>
      <c r="Z23" s="9" t="str">
        <v>XLE</v>
      </c>
      <c r="AA23">
        <f ca="1"/>
        <v>8.3951132797441663E-3</v>
      </c>
      <c r="AB23">
        <f ca="1"/>
        <v>6.4123709615656827E-3</v>
      </c>
      <c r="AC23">
        <f ca="1"/>
        <v>2.1436551188039357E-2</v>
      </c>
      <c r="AD23">
        <f ca="1"/>
        <v>1.0136473728690303E-2</v>
      </c>
      <c r="AE23">
        <f ca="1"/>
        <v>8.8438804125057034E-3</v>
      </c>
      <c r="AF23">
        <f ca="1"/>
        <v>5.9313836155569987E-3</v>
      </c>
      <c r="AG23">
        <f ca="1"/>
        <v>4.0959397083966207E-3</v>
      </c>
      <c r="AH23">
        <f ca="1"/>
        <v>5.1970916749576653E-3</v>
      </c>
      <c r="AI23">
        <f ca="1"/>
        <v>3.0573136428738864E-3</v>
      </c>
      <c r="AJ23">
        <f ca="1"/>
        <v>4.6683209692262567E-3</v>
      </c>
      <c r="AK23">
        <f ca="1"/>
        <v>7.0368987580444837E-3</v>
      </c>
      <c r="BB23" s="31" t="s">
        <v>90</v>
      </c>
      <c r="BC23" s="31" t="s">
        <v>91</v>
      </c>
      <c r="BD23" s="31" t="s">
        <v>94</v>
      </c>
      <c r="BE23" s="31" t="s">
        <v>95</v>
      </c>
      <c r="BF23" s="31" t="s">
        <v>92</v>
      </c>
    </row>
    <row r="24" spans="1:66" x14ac:dyDescent="0.2">
      <c r="A24" s="17">
        <v>43952</v>
      </c>
      <c r="B24" s="18">
        <v>6.8812898915924237E-2</v>
      </c>
      <c r="C24" s="18">
        <v>7.4383386058602508E-2</v>
      </c>
      <c r="D24" s="18">
        <v>1.9999933226921399E-2</v>
      </c>
      <c r="E24" s="18">
        <v>2.7205016803878879E-2</v>
      </c>
      <c r="F24" s="18">
        <v>5.3885608607502578E-2</v>
      </c>
      <c r="G24" s="18">
        <v>7.1764682003833125E-2</v>
      </c>
      <c r="H24" s="18">
        <v>1.6649642620394811E-2</v>
      </c>
      <c r="I24" s="18">
        <v>2.1521647366625759E-2</v>
      </c>
      <c r="J24" s="18">
        <v>4.2438312926339261E-2</v>
      </c>
      <c r="K24" s="18">
        <v>3.2888921423891881E-2</v>
      </c>
      <c r="L24" s="18">
        <v>6.5094673800807801E-2</v>
      </c>
      <c r="M24" s="7">
        <f ca="1"/>
        <v>5.8707154328743794E-2</v>
      </c>
      <c r="N24" s="7">
        <f ca="1"/>
        <v>6.3450278302781979E-2</v>
      </c>
      <c r="O24" s="7">
        <f ca="1"/>
        <v>9.0641086625269339E-3</v>
      </c>
      <c r="P24" s="7">
        <f ca="1"/>
        <v>1.6860692019273951E-2</v>
      </c>
      <c r="Q24" s="7">
        <f ca="1"/>
        <v>4.2801465670857637E-2</v>
      </c>
      <c r="R24" s="7">
        <f ca="1"/>
        <v>5.3116334169374196E-2</v>
      </c>
      <c r="S24" s="7">
        <f ca="1"/>
        <v>7.6843987163892676E-3</v>
      </c>
      <c r="T24" s="7">
        <f ca="1"/>
        <v>1.2978770885051637E-2</v>
      </c>
      <c r="U24" s="7">
        <f ca="1"/>
        <v>3.2820943515684611E-2</v>
      </c>
      <c r="V24" s="7">
        <f ca="1"/>
        <v>2.3080324559619919E-2</v>
      </c>
      <c r="W24" s="7">
        <f ca="1"/>
        <v>5.4034234742550924E-2</v>
      </c>
      <c r="Z24" s="9" t="str">
        <v>XLF</v>
      </c>
      <c r="AA24">
        <f ca="1"/>
        <v>6.944181550529175E-3</v>
      </c>
      <c r="AB24">
        <f ca="1"/>
        <v>5.8971628176423228E-3</v>
      </c>
      <c r="AC24">
        <f ca="1"/>
        <v>1.0136473728690303E-2</v>
      </c>
      <c r="AD24">
        <f ca="1"/>
        <v>8.4950889790427857E-3</v>
      </c>
      <c r="AE24">
        <f ca="1"/>
        <v>7.3302015534411798E-3</v>
      </c>
      <c r="AF24">
        <f ca="1"/>
        <v>5.5395012307162851E-3</v>
      </c>
      <c r="AG24">
        <f ca="1"/>
        <v>3.6339394593869964E-3</v>
      </c>
      <c r="AH24">
        <f ca="1"/>
        <v>5.4408878023456059E-3</v>
      </c>
      <c r="AI24">
        <f ca="1"/>
        <v>3.2492482672746288E-3</v>
      </c>
      <c r="AJ24">
        <f ca="1"/>
        <v>3.9187539343382323E-3</v>
      </c>
      <c r="AK24">
        <f ca="1"/>
        <v>6.3166181841639302E-3</v>
      </c>
      <c r="BB24" s="13" cm="1">
        <f t="array" ref="BB24:BB223">_xlfn.SEQUENCE(200,1,2,-0.025)</f>
        <v>2</v>
      </c>
      <c r="BC24" s="13">
        <f>1-BB24</f>
        <v>-1</v>
      </c>
      <c r="BD24" s="12" cm="1">
        <f t="array" aca="1" ref="BD24" ca="1">BB24^2*$BB$16+BC24^2*$BE$16+2*BB24*BC24*MMULT(MMULT(TRANSPOSE(GMVPORT),COVMAT),ORP)</f>
        <v>5.9462237352159763E-3</v>
      </c>
      <c r="BE24" s="12">
        <f ca="1">SQRT(BD24)</f>
        <v>7.7111761328710268E-2</v>
      </c>
      <c r="BF24" s="26">
        <f ca="1">BB24*$BB$18+BC24*$BE$18</f>
        <v>-1.3901034097013369E-2</v>
      </c>
      <c r="BH24" s="32"/>
    </row>
    <row r="25" spans="1:66" x14ac:dyDescent="0.2">
      <c r="A25" s="17">
        <v>43983</v>
      </c>
      <c r="B25" s="18">
        <v>1.623078532836875E-2</v>
      </c>
      <c r="C25" s="18">
        <v>3.7030409634120082E-4</v>
      </c>
      <c r="D25" s="18">
        <v>-2.347799922133775E-2</v>
      </c>
      <c r="E25" s="18">
        <v>-1.1533725234206369E-2</v>
      </c>
      <c r="F25" s="18">
        <v>1.5220768451476021E-2</v>
      </c>
      <c r="G25" s="18">
        <v>6.6550828463016742E-2</v>
      </c>
      <c r="H25" s="18">
        <v>-9.9611170865756549E-3</v>
      </c>
      <c r="I25" s="18">
        <v>4.6176413357481572E-3</v>
      </c>
      <c r="J25" s="18">
        <v>-5.4615535890451088E-2</v>
      </c>
      <c r="K25" s="18">
        <v>-2.8540852463434518E-2</v>
      </c>
      <c r="L25" s="18">
        <v>2.8343342992707798E-2</v>
      </c>
      <c r="M25" s="7">
        <f ca="1"/>
        <v>6.1250407411883034E-3</v>
      </c>
      <c r="N25" s="7">
        <f ca="1"/>
        <v>-1.0562803659479323E-2</v>
      </c>
      <c r="O25" s="7">
        <f ca="1"/>
        <v>-3.4413823785732212E-2</v>
      </c>
      <c r="P25" s="7">
        <f ca="1"/>
        <v>-2.1878050018811296E-2</v>
      </c>
      <c r="Q25" s="7">
        <f ca="1"/>
        <v>4.136625514831082E-3</v>
      </c>
      <c r="R25" s="7">
        <f ca="1"/>
        <v>4.7902480628557814E-2</v>
      </c>
      <c r="S25" s="7">
        <f ca="1"/>
        <v>-1.8926360990581197E-2</v>
      </c>
      <c r="T25" s="7">
        <f ca="1"/>
        <v>-3.925235145825965E-3</v>
      </c>
      <c r="U25" s="7">
        <f ca="1"/>
        <v>-6.4232905301105744E-2</v>
      </c>
      <c r="V25" s="7">
        <f ca="1"/>
        <v>-3.8349449327706481E-2</v>
      </c>
      <c r="W25" s="7">
        <f ca="1"/>
        <v>1.7282903934450925E-2</v>
      </c>
      <c r="Z25" s="9" t="str">
        <v>XLI</v>
      </c>
      <c r="AA25">
        <f ca="1"/>
        <v>7.1414621844978331E-3</v>
      </c>
      <c r="AB25">
        <f ca="1"/>
        <v>5.7248975958282275E-3</v>
      </c>
      <c r="AC25">
        <f ca="1"/>
        <v>8.8438804125057034E-3</v>
      </c>
      <c r="AD25">
        <f ca="1"/>
        <v>7.3302015534411798E-3</v>
      </c>
      <c r="AE25">
        <f ca="1"/>
        <v>7.8894279543011026E-3</v>
      </c>
      <c r="AF25">
        <f ca="1"/>
        <v>6.1187848709212418E-3</v>
      </c>
      <c r="AG25">
        <f ca="1"/>
        <v>3.9162149364731433E-3</v>
      </c>
      <c r="AH25">
        <f ca="1"/>
        <v>5.5480301114709642E-3</v>
      </c>
      <c r="AI25">
        <f ca="1"/>
        <v>3.5516089701292902E-3</v>
      </c>
      <c r="AJ25">
        <f ca="1"/>
        <v>4.2016286846053982E-3</v>
      </c>
      <c r="AK25">
        <f ca="1"/>
        <v>6.8414872358783015E-3</v>
      </c>
      <c r="BB25" s="26">
        <v>1.9750000000000001</v>
      </c>
      <c r="BC25" s="13">
        <f t="shared" ref="BC25:BC88" si="3">1-BB25</f>
        <v>-0.97500000000000009</v>
      </c>
      <c r="BD25" s="12" cm="1">
        <f t="array" aca="1" ref="BD25" ca="1">BB25^2*$BB$16+BC25^2*$BE$16+2*BB25*BC25*MMULT(MMULT(TRANSPOSE(GMVPORT),COVMAT),ORP)</f>
        <v>5.7123296461589956E-3</v>
      </c>
      <c r="BE25" s="12">
        <f t="shared" ref="BE25:BE88" ca="1" si="4">SQRT(BD25)</f>
        <v>7.557995531990605E-2</v>
      </c>
      <c r="BF25" s="26">
        <f t="shared" ref="BF25:BF88" ca="1" si="5">BB25*$BB$18+BC25*$BE$18</f>
        <v>-1.3350481472172174E-2</v>
      </c>
    </row>
    <row r="26" spans="1:66" x14ac:dyDescent="0.2">
      <c r="A26" s="17">
        <v>44013</v>
      </c>
      <c r="B26" s="18">
        <v>7.704796109123091E-2</v>
      </c>
      <c r="C26" s="18">
        <v>7.7858243153655415E-2</v>
      </c>
      <c r="D26" s="18">
        <v>-3.587767274050746E-2</v>
      </c>
      <c r="E26" s="18">
        <v>4.5085945482009171E-2</v>
      </c>
      <c r="F26" s="18">
        <v>4.8740536195578388E-2</v>
      </c>
      <c r="G26" s="18">
        <v>5.9760272647294783E-2</v>
      </c>
      <c r="H26" s="18">
        <v>7.7568160437492928E-2</v>
      </c>
      <c r="I26" s="18">
        <v>4.9671977865072048E-2</v>
      </c>
      <c r="J26" s="18">
        <v>8.6972186771774096E-2</v>
      </c>
      <c r="K26" s="18">
        <v>5.9029038962317808E-2</v>
      </c>
      <c r="L26" s="18">
        <v>7.5241477535765711E-2</v>
      </c>
      <c r="M26" s="7">
        <f ca="1"/>
        <v>6.6942216504050467E-2</v>
      </c>
      <c r="N26" s="7">
        <f ca="1"/>
        <v>6.6925135397834887E-2</v>
      </c>
      <c r="O26" s="7">
        <f ca="1"/>
        <v>-4.6813497304901926E-2</v>
      </c>
      <c r="P26" s="7">
        <f ca="1"/>
        <v>3.4741620697404246E-2</v>
      </c>
      <c r="Q26" s="7">
        <f ca="1"/>
        <v>3.7656393258933447E-2</v>
      </c>
      <c r="R26" s="7">
        <f ca="1"/>
        <v>4.1111924812835862E-2</v>
      </c>
      <c r="S26" s="7">
        <f ca="1"/>
        <v>6.8602916533487379E-2</v>
      </c>
      <c r="T26" s="7">
        <f ca="1"/>
        <v>4.1129101383497929E-2</v>
      </c>
      <c r="U26" s="7">
        <f ca="1"/>
        <v>7.7354817361119446E-2</v>
      </c>
      <c r="V26" s="7">
        <f ca="1"/>
        <v>4.9220442098045845E-2</v>
      </c>
      <c r="W26" s="7">
        <f ca="1"/>
        <v>6.4181038477508834E-2</v>
      </c>
      <c r="Z26" s="9" t="str">
        <v>XLK</v>
      </c>
      <c r="AA26">
        <f ca="1"/>
        <v>5.7582253046893688E-3</v>
      </c>
      <c r="AB26">
        <f ca="1"/>
        <v>6.4573536438774946E-3</v>
      </c>
      <c r="AC26">
        <f ca="1"/>
        <v>5.9313836155569987E-3</v>
      </c>
      <c r="AD26">
        <f ca="1"/>
        <v>5.5395012307162851E-3</v>
      </c>
      <c r="AE26">
        <f ca="1"/>
        <v>6.1187848709212418E-3</v>
      </c>
      <c r="AF26">
        <f ca="1"/>
        <v>8.1913579016570249E-3</v>
      </c>
      <c r="AG26">
        <f ca="1"/>
        <v>3.1790880327162712E-3</v>
      </c>
      <c r="AH26">
        <f ca="1"/>
        <v>5.1263637342649337E-3</v>
      </c>
      <c r="AI26">
        <f ca="1"/>
        <v>2.6724048510911123E-3</v>
      </c>
      <c r="AJ26">
        <f ca="1"/>
        <v>3.7538732086018645E-3</v>
      </c>
      <c r="AK26">
        <f ca="1"/>
        <v>7.5999624899786575E-3</v>
      </c>
      <c r="BB26" s="26">
        <v>1.9500000000000002</v>
      </c>
      <c r="BC26" s="13">
        <f t="shared" si="3"/>
        <v>-0.95000000000000018</v>
      </c>
      <c r="BD26" s="12" cm="1">
        <f t="array" aca="1" ref="BD26" ca="1">BB26^2*$BB$16+BC26^2*$BE$16+2*BB26*BC26*MMULT(MMULT(TRANSPOSE(GMVPORT),COVMAT),ORP)</f>
        <v>5.4843569264452314E-3</v>
      </c>
      <c r="BE26" s="12">
        <f t="shared" ca="1" si="4"/>
        <v>7.405644419255647E-2</v>
      </c>
      <c r="BF26" s="26">
        <f t="shared" ca="1" si="5"/>
        <v>-1.2799928847330982E-2</v>
      </c>
    </row>
    <row r="27" spans="1:66" x14ac:dyDescent="0.2">
      <c r="A27" s="17">
        <v>44044</v>
      </c>
      <c r="B27" s="18">
        <v>4.3571821382530677E-2</v>
      </c>
      <c r="C27" s="18">
        <v>8.8250572704356989E-2</v>
      </c>
      <c r="D27" s="18">
        <v>-1.054673435496201E-2</v>
      </c>
      <c r="E27" s="18">
        <v>4.2863050087508243E-2</v>
      </c>
      <c r="F27" s="18">
        <v>8.4762196227474718E-2</v>
      </c>
      <c r="G27" s="18">
        <v>0.11880821958905501</v>
      </c>
      <c r="H27" s="18">
        <v>4.5932916821435972E-2</v>
      </c>
      <c r="I27" s="18">
        <v>-2.7581616897831562E-4</v>
      </c>
      <c r="J27" s="18">
        <v>-2.5973916215405349E-2</v>
      </c>
      <c r="K27" s="18">
        <v>2.5869521599587001E-2</v>
      </c>
      <c r="L27" s="18">
        <v>9.5547588210228351E-2</v>
      </c>
      <c r="M27" s="7">
        <f ca="1"/>
        <v>3.3466076795350228E-2</v>
      </c>
      <c r="N27" s="7">
        <f ca="1"/>
        <v>7.731746494853646E-2</v>
      </c>
      <c r="O27" s="7">
        <f ca="1"/>
        <v>-2.1482558919356475E-2</v>
      </c>
      <c r="P27" s="7">
        <f ca="1"/>
        <v>3.2518725302903312E-2</v>
      </c>
      <c r="Q27" s="7">
        <f ca="1"/>
        <v>7.3678053290829784E-2</v>
      </c>
      <c r="R27" s="7">
        <f ca="1"/>
        <v>0.10015987175459608</v>
      </c>
      <c r="S27" s="7">
        <f ca="1"/>
        <v>3.696767291743043E-2</v>
      </c>
      <c r="T27" s="7">
        <f ca="1"/>
        <v>-8.8186926505524378E-3</v>
      </c>
      <c r="U27" s="7">
        <f ca="1"/>
        <v>-3.5591285626060003E-2</v>
      </c>
      <c r="V27" s="7">
        <f ca="1"/>
        <v>1.6060924735315035E-2</v>
      </c>
      <c r="W27" s="7">
        <f ca="1"/>
        <v>8.4487149151971475E-2</v>
      </c>
      <c r="Z27" s="9" t="str">
        <v>XLP</v>
      </c>
      <c r="AA27">
        <f ca="1"/>
        <v>3.8320149763212651E-3</v>
      </c>
      <c r="AB27">
        <f ca="1"/>
        <v>2.9191157563219533E-3</v>
      </c>
      <c r="AC27">
        <f ca="1"/>
        <v>4.0959397083966207E-3</v>
      </c>
      <c r="AD27">
        <f ca="1"/>
        <v>3.6339394593869964E-3</v>
      </c>
      <c r="AE27">
        <f ca="1"/>
        <v>3.9162149364731433E-3</v>
      </c>
      <c r="AF27">
        <f ca="1"/>
        <v>3.1790880327162712E-3</v>
      </c>
      <c r="AG27">
        <f ca="1"/>
        <v>3.3151283222533894E-3</v>
      </c>
      <c r="AH27">
        <f ca="1"/>
        <v>3.485881758636285E-3</v>
      </c>
      <c r="AI27">
        <f ca="1"/>
        <v>2.8750273044065322E-3</v>
      </c>
      <c r="AJ27">
        <f ca="1"/>
        <v>2.7025265750564207E-3</v>
      </c>
      <c r="AK27">
        <f ca="1"/>
        <v>3.156052989110536E-3</v>
      </c>
      <c r="BB27" s="26">
        <v>1.9250000000000003</v>
      </c>
      <c r="BC27" s="13">
        <f t="shared" si="3"/>
        <v>-0.92500000000000027</v>
      </c>
      <c r="BD27" s="12" cm="1">
        <f t="array" aca="1" ref="BD27" ca="1">BB27^2*$BB$16+BC27^2*$BE$16+2*BB27*BC27*MMULT(MMULT(TRANSPOSE(GMVPORT),COVMAT),ORP)</f>
        <v>5.2623055760746811E-3</v>
      </c>
      <c r="BE27" s="12">
        <f t="shared" ca="1" si="4"/>
        <v>7.2541750572168315E-2</v>
      </c>
      <c r="BF27" s="26">
        <f t="shared" ca="1" si="5"/>
        <v>-1.2249376222489786E-2</v>
      </c>
    </row>
    <row r="28" spans="1:66" x14ac:dyDescent="0.2">
      <c r="A28" s="17">
        <v>44075</v>
      </c>
      <c r="B28" s="18">
        <v>1.0319117566065071E-2</v>
      </c>
      <c r="C28" s="18">
        <v>-6.1018075614998717E-2</v>
      </c>
      <c r="D28" s="18">
        <v>-0.1598876875592653</v>
      </c>
      <c r="E28" s="18">
        <v>-3.9505064632525899E-2</v>
      </c>
      <c r="F28" s="18">
        <v>-1.066682835985411E-2</v>
      </c>
      <c r="G28" s="18">
        <v>-5.5443040016137757E-2</v>
      </c>
      <c r="H28" s="18">
        <v>-2.256779850088431E-2</v>
      </c>
      <c r="I28" s="18">
        <v>-2.7034650842775901E-2</v>
      </c>
      <c r="J28" s="18">
        <v>2.194270396085551E-3</v>
      </c>
      <c r="K28" s="18">
        <v>-2.5679019818100949E-2</v>
      </c>
      <c r="L28" s="18">
        <v>-2.072084803870233E-2</v>
      </c>
      <c r="M28" s="7">
        <f ca="1"/>
        <v>2.1337297888462427E-4</v>
      </c>
      <c r="N28" s="7">
        <f ca="1"/>
        <v>-7.1951183370819238E-2</v>
      </c>
      <c r="O28" s="7">
        <f ca="1"/>
        <v>-0.17082351212365976</v>
      </c>
      <c r="P28" s="7">
        <f ca="1"/>
        <v>-4.9849389417130824E-2</v>
      </c>
      <c r="Q28" s="7">
        <f ca="1"/>
        <v>-2.1750971296499048E-2</v>
      </c>
      <c r="R28" s="7">
        <f ca="1"/>
        <v>-7.4091387850596685E-2</v>
      </c>
      <c r="S28" s="7">
        <f ca="1"/>
        <v>-3.1533042404889855E-2</v>
      </c>
      <c r="T28" s="7">
        <f ca="1"/>
        <v>-3.5577527324350024E-2</v>
      </c>
      <c r="U28" s="7">
        <f ca="1"/>
        <v>-7.4230990145691001E-3</v>
      </c>
      <c r="V28" s="7">
        <f ca="1"/>
        <v>-3.5487616682372915E-2</v>
      </c>
      <c r="W28" s="7">
        <f ca="1"/>
        <v>-3.1781287096959203E-2</v>
      </c>
      <c r="Z28" s="9" t="str">
        <v>XLRE</v>
      </c>
      <c r="AA28">
        <f ca="1"/>
        <v>5.709446157103417E-3</v>
      </c>
      <c r="AB28">
        <f ca="1"/>
        <v>4.9379556196578753E-3</v>
      </c>
      <c r="AC28">
        <f ca="1"/>
        <v>5.1970916749576653E-3</v>
      </c>
      <c r="AD28">
        <f ca="1"/>
        <v>5.4408878023456059E-3</v>
      </c>
      <c r="AE28">
        <f ca="1"/>
        <v>5.5480301114709642E-3</v>
      </c>
      <c r="AF28">
        <f ca="1"/>
        <v>5.1263637342649337E-3</v>
      </c>
      <c r="AG28">
        <f ca="1"/>
        <v>3.485881758636285E-3</v>
      </c>
      <c r="AH28">
        <f ca="1"/>
        <v>6.8061430177284322E-3</v>
      </c>
      <c r="AI28">
        <f ca="1"/>
        <v>4.070461585989082E-3</v>
      </c>
      <c r="AJ28">
        <f ca="1"/>
        <v>3.6465943283933476E-3</v>
      </c>
      <c r="AK28">
        <f ca="1"/>
        <v>6.1985615165923496E-3</v>
      </c>
      <c r="BB28" s="26">
        <v>1.9000000000000004</v>
      </c>
      <c r="BC28" s="13">
        <f t="shared" si="3"/>
        <v>-0.90000000000000036</v>
      </c>
      <c r="BD28" s="12" cm="1">
        <f t="array" aca="1" ref="BD28" ca="1">BB28^2*$BB$16+BC28^2*$BE$16+2*BB28*BC28*MMULT(MMULT(TRANSPOSE(GMVPORT),COVMAT),ORP)</f>
        <v>5.0461755950473447E-3</v>
      </c>
      <c r="BE28" s="12">
        <f t="shared" ca="1" si="4"/>
        <v>7.1036438501992372E-2</v>
      </c>
      <c r="BF28" s="26">
        <f t="shared" ca="1" si="5"/>
        <v>-1.1698823597648594E-2</v>
      </c>
    </row>
    <row r="29" spans="1:66" x14ac:dyDescent="0.2">
      <c r="A29" s="17">
        <v>44105</v>
      </c>
      <c r="B29" s="18">
        <v>-2.5535117535551159E-3</v>
      </c>
      <c r="C29" s="18">
        <v>-1.258736424796236E-3</v>
      </c>
      <c r="D29" s="18">
        <v>-2.529227676953472E-2</v>
      </c>
      <c r="E29" s="18">
        <v>-3.2722739306099151E-3</v>
      </c>
      <c r="F29" s="18">
        <v>-1.0588866923281761E-2</v>
      </c>
      <c r="G29" s="18">
        <v>-4.7938735854473169E-2</v>
      </c>
      <c r="H29" s="18">
        <v>-2.2921662112972311E-2</v>
      </c>
      <c r="I29" s="18">
        <v>-2.5926644931988711E-2</v>
      </c>
      <c r="J29" s="18">
        <v>5.9556691991914601E-2</v>
      </c>
      <c r="K29" s="18">
        <v>-3.2382866516765467E-2</v>
      </c>
      <c r="L29" s="18">
        <v>-2.520972130147359E-2</v>
      </c>
      <c r="M29" s="7">
        <f ca="1"/>
        <v>-1.2659256340735562E-2</v>
      </c>
      <c r="N29" s="7">
        <f ca="1"/>
        <v>-1.219184418061676E-2</v>
      </c>
      <c r="O29" s="7">
        <f ca="1"/>
        <v>-3.6228101333929189E-2</v>
      </c>
      <c r="P29" s="7">
        <f ca="1"/>
        <v>-1.3616598715214843E-2</v>
      </c>
      <c r="Q29" s="7">
        <f ca="1"/>
        <v>-2.1673009859926699E-2</v>
      </c>
      <c r="R29" s="7">
        <f ca="1"/>
        <v>-6.6587083688932097E-2</v>
      </c>
      <c r="S29" s="7">
        <f ca="1"/>
        <v>-3.1886906016977856E-2</v>
      </c>
      <c r="T29" s="7">
        <f ca="1"/>
        <v>-3.4469521413562833E-2</v>
      </c>
      <c r="U29" s="7">
        <f ca="1"/>
        <v>4.9939322581259951E-2</v>
      </c>
      <c r="V29" s="7">
        <f ca="1"/>
        <v>-4.2191463381037429E-2</v>
      </c>
      <c r="W29" s="7">
        <f ca="1"/>
        <v>-3.6270160359730463E-2</v>
      </c>
      <c r="Z29" s="9" t="str">
        <v>XLU</v>
      </c>
      <c r="AA29">
        <f ca="1"/>
        <v>3.8225313356706919E-3</v>
      </c>
      <c r="AB29">
        <f ca="1"/>
        <v>2.81894545301871E-3</v>
      </c>
      <c r="AC29">
        <f ca="1"/>
        <v>3.0573136428738864E-3</v>
      </c>
      <c r="AD29">
        <f ca="1"/>
        <v>3.2492482672746288E-3</v>
      </c>
      <c r="AE29">
        <f ca="1"/>
        <v>3.5516089701292902E-3</v>
      </c>
      <c r="AF29">
        <f ca="1"/>
        <v>2.6724048510911123E-3</v>
      </c>
      <c r="AG29">
        <f ca="1"/>
        <v>2.8750273044065322E-3</v>
      </c>
      <c r="AH29">
        <f ca="1"/>
        <v>4.070461585989082E-3</v>
      </c>
      <c r="AI29">
        <f ca="1"/>
        <v>4.9522945418370131E-3</v>
      </c>
      <c r="AJ29">
        <f ca="1"/>
        <v>2.4292157591326411E-3</v>
      </c>
      <c r="AK29">
        <f ca="1"/>
        <v>3.1088247842385591E-3</v>
      </c>
      <c r="BB29" s="26">
        <v>1.8750000000000004</v>
      </c>
      <c r="BC29" s="13">
        <f t="shared" si="3"/>
        <v>-0.87500000000000044</v>
      </c>
      <c r="BD29" s="12" cm="1">
        <f t="array" aca="1" ref="BD29" ca="1">BB29^2*$BB$16+BC29^2*$BE$16+2*BB29*BC29*MMULT(MMULT(TRANSPOSE(GMVPORT),COVMAT),ORP)</f>
        <v>4.8359669833632256E-3</v>
      </c>
      <c r="BE29" s="12">
        <f t="shared" ca="1" si="4"/>
        <v>6.9541117213942044E-2</v>
      </c>
      <c r="BF29" s="26">
        <f t="shared" ca="1" si="5"/>
        <v>-1.1148270972807402E-2</v>
      </c>
    </row>
    <row r="30" spans="1:66" x14ac:dyDescent="0.2">
      <c r="A30" s="17">
        <v>44136</v>
      </c>
      <c r="B30" s="18">
        <v>0.1236149929693449</v>
      </c>
      <c r="C30" s="18">
        <v>0.104729654571331</v>
      </c>
      <c r="D30" s="18">
        <v>0.27994437412109358</v>
      </c>
      <c r="E30" s="18">
        <v>0.16848259065664981</v>
      </c>
      <c r="F30" s="18">
        <v>0.1602739599989644</v>
      </c>
      <c r="G30" s="18">
        <v>0.11383728655063979</v>
      </c>
      <c r="H30" s="18">
        <v>7.4687165019005963E-2</v>
      </c>
      <c r="I30" s="18">
        <v>6.8813523687041522E-2</v>
      </c>
      <c r="J30" s="18">
        <v>7.3743155717904676E-3</v>
      </c>
      <c r="K30" s="18">
        <v>7.948041706279807E-2</v>
      </c>
      <c r="L30" s="18">
        <v>9.9951048071366788E-2</v>
      </c>
      <c r="M30" s="7">
        <f ca="1"/>
        <v>0.11350924838216446</v>
      </c>
      <c r="N30" s="7">
        <f ca="1"/>
        <v>9.3796546815510473E-2</v>
      </c>
      <c r="O30" s="7">
        <f ca="1"/>
        <v>0.26900854955669912</v>
      </c>
      <c r="P30" s="7">
        <f ca="1"/>
        <v>0.15813826587204488</v>
      </c>
      <c r="Q30" s="7">
        <f ca="1"/>
        <v>0.14918981706231946</v>
      </c>
      <c r="R30" s="7">
        <f ca="1"/>
        <v>9.5188938716180865E-2</v>
      </c>
      <c r="S30" s="7">
        <f ca="1"/>
        <v>6.5721921115000415E-2</v>
      </c>
      <c r="T30" s="7">
        <f ca="1"/>
        <v>6.0270647205467404E-2</v>
      </c>
      <c r="U30" s="7">
        <f ca="1"/>
        <v>-2.2430538388641839E-3</v>
      </c>
      <c r="V30" s="7">
        <f ca="1"/>
        <v>6.9671820198526108E-2</v>
      </c>
      <c r="W30" s="7">
        <f ca="1"/>
        <v>8.8890609013109911E-2</v>
      </c>
      <c r="Z30" s="9" t="str">
        <v>XLV</v>
      </c>
      <c r="AA30">
        <f ca="1"/>
        <v>4.2160594592533553E-3</v>
      </c>
      <c r="AB30">
        <f ca="1"/>
        <v>3.3095883752832463E-3</v>
      </c>
      <c r="AC30">
        <f ca="1"/>
        <v>4.6683209692262567E-3</v>
      </c>
      <c r="AD30">
        <f ca="1"/>
        <v>3.9187539343382323E-3</v>
      </c>
      <c r="AE30">
        <f ca="1"/>
        <v>4.2016286846053982E-3</v>
      </c>
      <c r="AF30">
        <f ca="1"/>
        <v>3.7538732086018645E-3</v>
      </c>
      <c r="AG30">
        <f ca="1"/>
        <v>2.7025265750564207E-3</v>
      </c>
      <c r="AH30">
        <f ca="1"/>
        <v>3.6465943283933476E-3</v>
      </c>
      <c r="AI30">
        <f ca="1"/>
        <v>2.4292157591326411E-3</v>
      </c>
      <c r="AJ30">
        <f ca="1"/>
        <v>3.9358899207996801E-3</v>
      </c>
      <c r="AK30">
        <f ca="1"/>
        <v>3.9003418238303315E-3</v>
      </c>
      <c r="BB30" s="26">
        <v>1.8500000000000005</v>
      </c>
      <c r="BC30" s="13">
        <f t="shared" si="3"/>
        <v>-0.85000000000000053</v>
      </c>
      <c r="BD30" s="12" cm="1">
        <f t="array" aca="1" ref="BD30" ca="1">BB30^2*$BB$16+BC30^2*$BE$16+2*BB30*BC30*MMULT(MMULT(TRANSPOSE(GMVPORT),COVMAT),ORP)</f>
        <v>4.6316797410223178E-3</v>
      </c>
      <c r="BE30" s="12">
        <f t="shared" ca="1" si="4"/>
        <v>6.8056445257024104E-2</v>
      </c>
      <c r="BF30" s="26">
        <f t="shared" ca="1" si="5"/>
        <v>-1.0597718347966209E-2</v>
      </c>
    </row>
    <row r="31" spans="1:66" x14ac:dyDescent="0.2">
      <c r="A31" s="17">
        <v>44166</v>
      </c>
      <c r="B31" s="18">
        <v>1.9721110785938741E-2</v>
      </c>
      <c r="C31" s="18">
        <v>3.1804688685385767E-2</v>
      </c>
      <c r="D31" s="18">
        <v>3.1012055987432511E-2</v>
      </c>
      <c r="E31" s="18">
        <v>5.7388750329378617E-2</v>
      </c>
      <c r="F31" s="18">
        <v>5.9071577446430101E-3</v>
      </c>
      <c r="G31" s="18">
        <v>5.2963999326570699E-2</v>
      </c>
      <c r="H31" s="18">
        <v>8.0701802611555795E-3</v>
      </c>
      <c r="I31" s="18">
        <v>1.6443026688546249E-3</v>
      </c>
      <c r="J31" s="18">
        <v>-2.2280709303730268E-3</v>
      </c>
      <c r="K31" s="18">
        <v>3.371604951330931E-2</v>
      </c>
      <c r="L31" s="18">
        <v>2.2383355202986181E-2</v>
      </c>
      <c r="M31" s="7">
        <f ca="1"/>
        <v>9.6153661987582947E-3</v>
      </c>
      <c r="N31" s="7">
        <f ca="1"/>
        <v>2.0871580929565245E-2</v>
      </c>
      <c r="O31" s="7">
        <f ca="1"/>
        <v>2.0076231423038046E-2</v>
      </c>
      <c r="P31" s="7">
        <f ca="1"/>
        <v>4.7044425544773685E-2</v>
      </c>
      <c r="Q31" s="7">
        <f ca="1"/>
        <v>-5.1769851920019285E-3</v>
      </c>
      <c r="R31" s="7">
        <f ca="1"/>
        <v>3.4315651492111771E-2</v>
      </c>
      <c r="S31" s="7">
        <f ca="1"/>
        <v>-8.9506364284996399E-4</v>
      </c>
      <c r="T31" s="7">
        <f ca="1"/>
        <v>-6.8985738127194975E-3</v>
      </c>
      <c r="U31" s="7">
        <f ca="1"/>
        <v>-1.1845440341027679E-2</v>
      </c>
      <c r="V31" s="7">
        <f ca="1"/>
        <v>2.3907452649037347E-2</v>
      </c>
      <c r="W31" s="7">
        <f ca="1"/>
        <v>1.1322916144729307E-2</v>
      </c>
      <c r="Z31" s="9" t="str">
        <v>XLY</v>
      </c>
      <c r="AA31">
        <f ca="1"/>
        <v>6.8215148504391296E-3</v>
      </c>
      <c r="AB31">
        <f ca="1"/>
        <v>6.5280687896181223E-3</v>
      </c>
      <c r="AC31">
        <f ca="1"/>
        <v>7.0368987580444837E-3</v>
      </c>
      <c r="AD31">
        <f ca="1"/>
        <v>6.3166181841639302E-3</v>
      </c>
      <c r="AE31">
        <f ca="1"/>
        <v>6.8414872358783015E-3</v>
      </c>
      <c r="AF31">
        <f ca="1"/>
        <v>7.5999624899786575E-3</v>
      </c>
      <c r="AG31">
        <f ca="1"/>
        <v>3.156052989110536E-3</v>
      </c>
      <c r="AH31">
        <f ca="1"/>
        <v>6.1985615165923496E-3</v>
      </c>
      <c r="AI31">
        <f ca="1"/>
        <v>3.1088247842385591E-3</v>
      </c>
      <c r="AJ31">
        <f ca="1"/>
        <v>3.9003418238303315E-3</v>
      </c>
      <c r="AK31">
        <f ca="1"/>
        <v>9.3415948076678197E-3</v>
      </c>
      <c r="BB31" s="26">
        <v>1.8250000000000006</v>
      </c>
      <c r="BC31" s="13">
        <f t="shared" si="3"/>
        <v>-0.82500000000000062</v>
      </c>
      <c r="BD31" s="12" cm="1">
        <f t="array" aca="1" ref="BD31" ca="1">BB31^2*$BB$16+BC31^2*$BE$16+2*BB31*BC31*MMULT(MMULT(TRANSPOSE(GMVPORT),COVMAT),ORP)</f>
        <v>4.4333138680246274E-3</v>
      </c>
      <c r="BE31" s="12">
        <f t="shared" ca="1" si="4"/>
        <v>6.6583135011988037E-2</v>
      </c>
      <c r="BF31" s="26">
        <f t="shared" ca="1" si="5"/>
        <v>-1.0047165723125015E-2</v>
      </c>
    </row>
    <row r="32" spans="1:66" x14ac:dyDescent="0.2">
      <c r="A32" s="17">
        <v>44197</v>
      </c>
      <c r="B32" s="18">
        <v>-1.9298971735595138E-2</v>
      </c>
      <c r="C32" s="18">
        <v>-7.3090147289195384E-3</v>
      </c>
      <c r="D32" s="18">
        <v>5.1342656595185332E-2</v>
      </c>
      <c r="E32" s="18">
        <v>-1.27108766410261E-2</v>
      </c>
      <c r="F32" s="18">
        <v>-3.8727728455547512E-2</v>
      </c>
      <c r="G32" s="18">
        <v>-6.0738388466101689E-3</v>
      </c>
      <c r="H32" s="18">
        <v>-4.1859446966678197E-2</v>
      </c>
      <c r="I32" s="18">
        <v>1.8494963481187069E-2</v>
      </c>
      <c r="J32" s="18">
        <v>-3.9503555905628929E-4</v>
      </c>
      <c r="K32" s="18">
        <v>1.819735445089754E-2</v>
      </c>
      <c r="L32" s="18">
        <v>9.5180891886448293E-3</v>
      </c>
      <c r="M32" s="7">
        <f ca="1"/>
        <v>-2.9404716322775585E-2</v>
      </c>
      <c r="N32" s="7">
        <f ca="1"/>
        <v>-1.824212248474006E-2</v>
      </c>
      <c r="O32" s="7">
        <f ca="1"/>
        <v>4.0406832030790867E-2</v>
      </c>
      <c r="P32" s="7">
        <f ca="1"/>
        <v>-2.3055201425631028E-2</v>
      </c>
      <c r="Q32" s="7">
        <f ca="1"/>
        <v>-4.9811871392192453E-2</v>
      </c>
      <c r="R32" s="7">
        <f ca="1"/>
        <v>-2.4722186681069094E-2</v>
      </c>
      <c r="S32" s="7">
        <f ca="1"/>
        <v>-5.0824690870683739E-2</v>
      </c>
      <c r="T32" s="7">
        <f ca="1"/>
        <v>9.9520869996129468E-3</v>
      </c>
      <c r="U32" s="7">
        <f ca="1"/>
        <v>-1.0012404969710941E-2</v>
      </c>
      <c r="V32" s="7">
        <f ca="1"/>
        <v>8.3887575866255764E-3</v>
      </c>
      <c r="W32" s="7">
        <f ca="1"/>
        <v>-1.542349869612044E-3</v>
      </c>
      <c r="BB32" s="26">
        <v>1.8000000000000007</v>
      </c>
      <c r="BC32" s="13">
        <f t="shared" si="3"/>
        <v>-0.80000000000000071</v>
      </c>
      <c r="BD32" s="12" cm="1">
        <f t="array" aca="1" ref="BD32" ca="1">BB32^2*$BB$16+BC32^2*$BE$16+2*BB32*BC32*MMULT(MMULT(TRANSPOSE(GMVPORT),COVMAT),ORP)</f>
        <v>4.2408693643701499E-3</v>
      </c>
      <c r="BE32" s="12">
        <f t="shared" ca="1" si="4"/>
        <v>6.5121957620837459E-2</v>
      </c>
      <c r="BF32" s="26">
        <f t="shared" ca="1" si="5"/>
        <v>-9.4966130982838213E-3</v>
      </c>
    </row>
    <row r="33" spans="1:58" x14ac:dyDescent="0.2">
      <c r="A33" s="17">
        <v>44228</v>
      </c>
      <c r="B33" s="18">
        <v>4.1194811505392392E-2</v>
      </c>
      <c r="C33" s="18">
        <v>7.0125483269468214E-2</v>
      </c>
      <c r="D33" s="18">
        <v>0.2245676218487527</v>
      </c>
      <c r="E33" s="18">
        <v>0.11606216702785679</v>
      </c>
      <c r="F33" s="18">
        <v>6.8892446191245904E-2</v>
      </c>
      <c r="G33" s="18">
        <v>1.365108577859386E-2</v>
      </c>
      <c r="H33" s="18">
        <v>-1.2326322857839861E-2</v>
      </c>
      <c r="I33" s="18">
        <v>1.5777971668700101E-2</v>
      </c>
      <c r="J33" s="18">
        <v>-6.0981369683064453E-2</v>
      </c>
      <c r="K33" s="18">
        <v>-2.1038209216836301E-2</v>
      </c>
      <c r="L33" s="18">
        <v>-5.3084676613400772E-3</v>
      </c>
      <c r="M33" s="7">
        <f ca="1"/>
        <v>3.1089066918211946E-2</v>
      </c>
      <c r="N33" s="7">
        <f ca="1"/>
        <v>5.9192375513647692E-2</v>
      </c>
      <c r="O33" s="7">
        <f ca="1"/>
        <v>0.21363179728435824</v>
      </c>
      <c r="P33" s="7">
        <f ca="1"/>
        <v>0.10571784224325187</v>
      </c>
      <c r="Q33" s="7">
        <f ca="1"/>
        <v>5.7808303254600964E-2</v>
      </c>
      <c r="R33" s="7">
        <f ca="1"/>
        <v>-4.9972620558650649E-3</v>
      </c>
      <c r="S33" s="7">
        <f ca="1"/>
        <v>-2.1291566761845404E-2</v>
      </c>
      <c r="T33" s="7">
        <f ca="1"/>
        <v>7.2350951871259783E-3</v>
      </c>
      <c r="U33" s="7">
        <f ca="1"/>
        <v>-7.0598739093719109E-2</v>
      </c>
      <c r="V33" s="7">
        <f ca="1"/>
        <v>-3.0846806081108263E-2</v>
      </c>
      <c r="W33" s="7">
        <f ca="1"/>
        <v>-1.6368906719596951E-2</v>
      </c>
      <c r="BB33" s="26">
        <v>1.7750000000000008</v>
      </c>
      <c r="BC33" s="13">
        <f t="shared" si="3"/>
        <v>-0.7750000000000008</v>
      </c>
      <c r="BD33" s="12" cm="1">
        <f t="array" aca="1" ref="BD33" ca="1">BB33^2*$BB$16+BC33^2*$BE$16+2*BB33*BC33*MMULT(MMULT(TRANSPOSE(GMVPORT),COVMAT),ORP)</f>
        <v>4.0543462300588872E-3</v>
      </c>
      <c r="BE33" s="12">
        <f t="shared" ca="1" si="4"/>
        <v>6.3673748358792942E-2</v>
      </c>
      <c r="BF33" s="26">
        <f t="shared" ca="1" si="5"/>
        <v>-8.9460604734426276E-3</v>
      </c>
    </row>
    <row r="34" spans="1:58" x14ac:dyDescent="0.2">
      <c r="A34" s="17">
        <v>44256</v>
      </c>
      <c r="B34" s="18">
        <v>7.1380101572128485E-2</v>
      </c>
      <c r="C34" s="18">
        <v>2.4451681851059611E-2</v>
      </c>
      <c r="D34" s="18">
        <v>1.8899174645485409E-2</v>
      </c>
      <c r="E34" s="18">
        <v>5.3853325127146023E-2</v>
      </c>
      <c r="F34" s="18">
        <v>8.6524802574746928E-2</v>
      </c>
      <c r="G34" s="18">
        <v>1.6221268819982541E-2</v>
      </c>
      <c r="H34" s="18">
        <v>7.914682839904863E-2</v>
      </c>
      <c r="I34" s="18">
        <v>5.75791066620579E-2</v>
      </c>
      <c r="J34" s="18">
        <v>9.7326815422473345E-2</v>
      </c>
      <c r="K34" s="18">
        <v>3.6675307930267742E-2</v>
      </c>
      <c r="L34" s="18">
        <v>4.2941465147132929E-2</v>
      </c>
      <c r="M34" s="7">
        <f ca="1"/>
        <v>6.1274356984948042E-2</v>
      </c>
      <c r="N34" s="7">
        <f ca="1"/>
        <v>1.3518574095239088E-2</v>
      </c>
      <c r="O34" s="7">
        <f ca="1"/>
        <v>7.963350081090944E-3</v>
      </c>
      <c r="P34" s="7">
        <f ca="1"/>
        <v>4.3509000342541099E-2</v>
      </c>
      <c r="Q34" s="7">
        <f ca="1"/>
        <v>7.5440659638101995E-2</v>
      </c>
      <c r="R34" s="7">
        <f ca="1"/>
        <v>-2.427079014476384E-3</v>
      </c>
      <c r="S34" s="7">
        <f ca="1"/>
        <v>7.0181584495043081E-2</v>
      </c>
      <c r="T34" s="7">
        <f ca="1"/>
        <v>4.9036230180483781E-2</v>
      </c>
      <c r="U34" s="7">
        <f ca="1"/>
        <v>8.7709446011818695E-2</v>
      </c>
      <c r="V34" s="7">
        <f ca="1"/>
        <v>2.686671106599578E-2</v>
      </c>
      <c r="W34" s="7">
        <f ca="1"/>
        <v>3.1881026088876052E-2</v>
      </c>
      <c r="BB34" s="26">
        <v>1.7500000000000009</v>
      </c>
      <c r="BC34" s="13">
        <f t="shared" si="3"/>
        <v>-0.75000000000000089</v>
      </c>
      <c r="BD34" s="12" cm="1">
        <f t="array" aca="1" ref="BD34" ca="1">BB34^2*$BB$16+BC34^2*$BE$16+2*BB34*BC34*MMULT(MMULT(TRANSPOSE(GMVPORT),COVMAT),ORP)</f>
        <v>3.873744465090841E-3</v>
      </c>
      <c r="BE34" s="12">
        <f t="shared" ca="1" si="4"/>
        <v>6.2239412473856476E-2</v>
      </c>
      <c r="BF34" s="26">
        <f t="shared" ca="1" si="5"/>
        <v>-8.3955078486014339E-3</v>
      </c>
    </row>
    <row r="35" spans="1:58" x14ac:dyDescent="0.2">
      <c r="A35" s="17">
        <v>44287</v>
      </c>
      <c r="B35" s="18">
        <v>5.825714035967211E-2</v>
      </c>
      <c r="C35" s="18">
        <v>6.6392376281198873E-2</v>
      </c>
      <c r="D35" s="18">
        <v>1.7408024413490431E-2</v>
      </c>
      <c r="E35" s="18">
        <v>6.9624402326839308E-2</v>
      </c>
      <c r="F35" s="18">
        <v>3.8534201063777473E-2</v>
      </c>
      <c r="G35" s="18">
        <v>5.4099121983321563E-2</v>
      </c>
      <c r="H35" s="18">
        <v>2.4099363183665679E-2</v>
      </c>
      <c r="I35" s="18">
        <v>9.387302771693018E-2</v>
      </c>
      <c r="J35" s="18">
        <v>4.9628340598680383E-2</v>
      </c>
      <c r="K35" s="18">
        <v>4.2925312900121249E-2</v>
      </c>
      <c r="L35" s="18">
        <v>6.6247600748007285E-2</v>
      </c>
      <c r="M35" s="7">
        <f ca="1"/>
        <v>4.8151395772491667E-2</v>
      </c>
      <c r="N35" s="7">
        <f ca="1"/>
        <v>5.5459268525378351E-2</v>
      </c>
      <c r="O35" s="7">
        <f ca="1"/>
        <v>6.4721998490959651E-3</v>
      </c>
      <c r="P35" s="7">
        <f ca="1"/>
        <v>5.9280077542234383E-2</v>
      </c>
      <c r="Q35" s="7">
        <f ca="1"/>
        <v>2.7450058127132533E-2</v>
      </c>
      <c r="R35" s="7">
        <f ca="1"/>
        <v>3.5450774148862635E-2</v>
      </c>
      <c r="S35" s="7">
        <f ca="1"/>
        <v>1.5134119279660135E-2</v>
      </c>
      <c r="T35" s="7">
        <f ca="1"/>
        <v>8.5330151235356061E-2</v>
      </c>
      <c r="U35" s="7">
        <f ca="1"/>
        <v>4.0010971188025733E-2</v>
      </c>
      <c r="V35" s="7">
        <f ca="1"/>
        <v>3.3116716035849286E-2</v>
      </c>
      <c r="W35" s="7">
        <f ca="1"/>
        <v>5.5187161689750408E-2</v>
      </c>
      <c r="Z35" s="65" t="s">
        <v>25</v>
      </c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P35" s="10" t="s">
        <v>29</v>
      </c>
      <c r="BB35" s="26">
        <v>1.725000000000001</v>
      </c>
      <c r="BC35" s="13">
        <f t="shared" si="3"/>
        <v>-0.72500000000000098</v>
      </c>
      <c r="BD35" s="12" cm="1">
        <f t="array" aca="1" ref="BD35" ca="1">BB35^2*$BB$16+BC35^2*$BE$16+2*BB35*BC35*MMULT(MMULT(TRANSPOSE(GMVPORT),COVMAT),ORP)</f>
        <v>3.6990640694660073E-3</v>
      </c>
      <c r="BE35" s="12">
        <f t="shared" ca="1" si="4"/>
        <v>6.0819931514808592E-2</v>
      </c>
      <c r="BF35" s="26">
        <f t="shared" ca="1" si="5"/>
        <v>-7.8449552237602402E-3</v>
      </c>
    </row>
    <row r="36" spans="1:58" x14ac:dyDescent="0.2">
      <c r="A36" s="17">
        <v>44317</v>
      </c>
      <c r="B36" s="18">
        <v>5.0818878098169977E-2</v>
      </c>
      <c r="C36" s="18">
        <v>9.4814690615698805E-3</v>
      </c>
      <c r="D36" s="18">
        <v>5.7096448564150082E-2</v>
      </c>
      <c r="E36" s="18">
        <v>4.7711057997267048E-2</v>
      </c>
      <c r="F36" s="18">
        <v>3.1296228815733462E-2</v>
      </c>
      <c r="G36" s="18">
        <v>-9.3056028153626347E-3</v>
      </c>
      <c r="H36" s="18">
        <v>1.7677649561268272E-2</v>
      </c>
      <c r="I36" s="18">
        <v>1.1456552261700731E-2</v>
      </c>
      <c r="J36" s="18">
        <v>-2.3381298746220081E-2</v>
      </c>
      <c r="K36" s="18">
        <v>1.8709297391055649E-2</v>
      </c>
      <c r="L36" s="18">
        <v>-3.3981816961742288E-2</v>
      </c>
      <c r="M36" s="7">
        <f ca="1"/>
        <v>4.0713133510989527E-2</v>
      </c>
      <c r="N36" s="7">
        <f ca="1"/>
        <v>-1.451638694250643E-3</v>
      </c>
      <c r="O36" s="7">
        <f ca="1"/>
        <v>4.6160623999755616E-2</v>
      </c>
      <c r="P36" s="7">
        <f ca="1"/>
        <v>3.7366733212662123E-2</v>
      </c>
      <c r="Q36" s="7">
        <f ca="1"/>
        <v>2.0212085879088522E-2</v>
      </c>
      <c r="R36" s="7">
        <f ca="1"/>
        <v>-2.7953950649821559E-2</v>
      </c>
      <c r="S36" s="7">
        <f ca="1"/>
        <v>8.7124056572627281E-3</v>
      </c>
      <c r="T36" s="7">
        <f ca="1"/>
        <v>2.9136757801266084E-3</v>
      </c>
      <c r="U36" s="7">
        <f ca="1"/>
        <v>-3.299866815687473E-2</v>
      </c>
      <c r="V36" s="7">
        <f ca="1"/>
        <v>8.9007005267836854E-3</v>
      </c>
      <c r="W36" s="7">
        <f ca="1"/>
        <v>-4.5042256019999158E-2</v>
      </c>
      <c r="Z36" cm="1">
        <f t="array" aca="1" ref="Z36:AJ46" ca="1">COVMAT2</f>
        <v>7.8164281368157795E-3</v>
      </c>
      <c r="AA36">
        <f ca="1"/>
        <v>5.5900211486607718E-3</v>
      </c>
      <c r="AB36">
        <f ca="1"/>
        <v>8.3951132797441663E-3</v>
      </c>
      <c r="AC36">
        <f ca="1"/>
        <v>6.944181550529175E-3</v>
      </c>
      <c r="AD36">
        <f ca="1"/>
        <v>7.1414621844978331E-3</v>
      </c>
      <c r="AE36">
        <f ca="1"/>
        <v>5.7582253046893688E-3</v>
      </c>
      <c r="AF36">
        <f ca="1"/>
        <v>3.8320149763212651E-3</v>
      </c>
      <c r="AG36">
        <f ca="1"/>
        <v>5.709446157103417E-3</v>
      </c>
      <c r="AH36">
        <f ca="1"/>
        <v>3.8225313356706919E-3</v>
      </c>
      <c r="AI36">
        <f ca="1"/>
        <v>4.2160594592533553E-3</v>
      </c>
      <c r="AJ36">
        <f ca="1"/>
        <v>6.8215148504391296E-3</v>
      </c>
      <c r="AK36" cm="1">
        <f t="array" ref="AK36:AK46">ONEVEC</f>
        <v>1</v>
      </c>
      <c r="AP36" cm="1">
        <f t="array" ref="AP36:AP46">ZEROVEC</f>
        <v>0</v>
      </c>
      <c r="BB36" s="26">
        <v>1.7000000000000011</v>
      </c>
      <c r="BC36" s="13">
        <f t="shared" si="3"/>
        <v>-0.70000000000000107</v>
      </c>
      <c r="BD36" s="12" cm="1">
        <f t="array" aca="1" ref="BD36" ca="1">BB36^2*$BB$16+BC36^2*$BE$16+2*BB36*BC36*MMULT(MMULT(TRANSPOSE(GMVPORT),COVMAT),ORP)</f>
        <v>3.5303050431843889E-3</v>
      </c>
      <c r="BE36" s="12">
        <f t="shared" ca="1" si="4"/>
        <v>5.9416370161634653E-2</v>
      </c>
      <c r="BF36" s="26">
        <f t="shared" ca="1" si="5"/>
        <v>-7.2944025989190465E-3</v>
      </c>
    </row>
    <row r="37" spans="1:58" x14ac:dyDescent="0.2">
      <c r="A37" s="17">
        <v>44348</v>
      </c>
      <c r="B37" s="18">
        <v>-5.672700449182666E-2</v>
      </c>
      <c r="C37" s="18">
        <v>2.7668257466900489E-2</v>
      </c>
      <c r="D37" s="18">
        <v>3.1794648044366942E-2</v>
      </c>
      <c r="E37" s="18">
        <v>-3.4219531089353272E-2</v>
      </c>
      <c r="F37" s="18">
        <v>-2.5875317679334601E-2</v>
      </c>
      <c r="G37" s="18">
        <v>6.690746419364535E-2</v>
      </c>
      <c r="H37" s="18">
        <v>-1.18627808652142E-2</v>
      </c>
      <c r="I37" s="18">
        <v>2.4734490777744918E-2</v>
      </c>
      <c r="J37" s="18">
        <v>-2.961950285771375E-2</v>
      </c>
      <c r="K37" s="18">
        <v>1.9012941213202291E-2</v>
      </c>
      <c r="L37" s="18">
        <v>3.3036508654576517E-2</v>
      </c>
      <c r="M37" s="7">
        <f ca="1"/>
        <v>-6.6832749079007103E-2</v>
      </c>
      <c r="N37" s="7">
        <f ca="1"/>
        <v>1.6735149711079964E-2</v>
      </c>
      <c r="O37" s="7">
        <f ca="1"/>
        <v>2.0858823479972477E-2</v>
      </c>
      <c r="P37" s="7">
        <f ca="1"/>
        <v>-4.4563855873958197E-2</v>
      </c>
      <c r="Q37" s="7">
        <f ca="1"/>
        <v>-3.6959460615979538E-2</v>
      </c>
      <c r="R37" s="7">
        <f ca="1"/>
        <v>4.8259116359186421E-2</v>
      </c>
      <c r="S37" s="7">
        <f ca="1"/>
        <v>-2.0828024769219744E-2</v>
      </c>
      <c r="T37" s="7">
        <f ca="1"/>
        <v>1.6191614296170796E-2</v>
      </c>
      <c r="U37" s="7">
        <f ca="1"/>
        <v>-3.9236872268368403E-2</v>
      </c>
      <c r="V37" s="7">
        <f ca="1"/>
        <v>9.2043443489303271E-3</v>
      </c>
      <c r="W37" s="7">
        <f ca="1"/>
        <v>2.1976069596319644E-2</v>
      </c>
      <c r="Z37">
        <f ca="1"/>
        <v>5.5900211486607718E-3</v>
      </c>
      <c r="AA37">
        <f ca="1"/>
        <v>6.9693846194106533E-3</v>
      </c>
      <c r="AB37">
        <f ca="1"/>
        <v>6.4123709615656827E-3</v>
      </c>
      <c r="AC37">
        <f ca="1"/>
        <v>5.8971628176423228E-3</v>
      </c>
      <c r="AD37">
        <f ca="1"/>
        <v>5.7248975958282275E-3</v>
      </c>
      <c r="AE37">
        <f ca="1"/>
        <v>6.4573536438774946E-3</v>
      </c>
      <c r="AF37">
        <f ca="1"/>
        <v>2.9191157563219533E-3</v>
      </c>
      <c r="AG37">
        <f ca="1"/>
        <v>4.9379556196578753E-3</v>
      </c>
      <c r="AH37">
        <f ca="1"/>
        <v>2.81894545301871E-3</v>
      </c>
      <c r="AI37">
        <f ca="1"/>
        <v>3.3095883752832463E-3</v>
      </c>
      <c r="AJ37">
        <f ca="1"/>
        <v>6.5280687896181223E-3</v>
      </c>
      <c r="AK37">
        <v>1</v>
      </c>
      <c r="AP37">
        <v>0</v>
      </c>
      <c r="BB37" s="26">
        <v>1.6750000000000012</v>
      </c>
      <c r="BC37" s="13">
        <f t="shared" si="3"/>
        <v>-0.67500000000000115</v>
      </c>
      <c r="BD37" s="12" cm="1">
        <f t="array" aca="1" ref="BD37" ca="1">BB37^2*$BB$16+BC37^2*$BE$16+2*BB37*BC37*MMULT(MMULT(TRANSPOSE(GMVPORT),COVMAT),ORP)</f>
        <v>3.367467386245986E-3</v>
      </c>
      <c r="BE37" s="12">
        <f t="shared" ca="1" si="4"/>
        <v>5.8029883562230128E-2</v>
      </c>
      <c r="BF37" s="26">
        <f t="shared" ca="1" si="5"/>
        <v>-6.7438499740778545E-3</v>
      </c>
    </row>
    <row r="38" spans="1:58" x14ac:dyDescent="0.2">
      <c r="A38" s="17">
        <v>44378</v>
      </c>
      <c r="B38" s="18">
        <v>2.5206647032260939E-2</v>
      </c>
      <c r="C38" s="18">
        <v>1.9490272827016542E-2</v>
      </c>
      <c r="D38" s="18">
        <v>-7.3793238733490085E-2</v>
      </c>
      <c r="E38" s="18">
        <v>-6.9050072718701561E-4</v>
      </c>
      <c r="F38" s="18">
        <v>1.256700804080757E-2</v>
      </c>
      <c r="G38" s="18">
        <v>4.0777332394005938E-2</v>
      </c>
      <c r="H38" s="18">
        <v>2.8647857245997391E-2</v>
      </c>
      <c r="I38" s="18">
        <v>5.3013620335978777E-2</v>
      </c>
      <c r="J38" s="18">
        <v>5.1437041165165683E-2</v>
      </c>
      <c r="K38" s="18">
        <v>5.3320338123637789E-2</v>
      </c>
      <c r="L38" s="18">
        <v>1.2028011859420261E-2</v>
      </c>
      <c r="M38" s="7">
        <f ca="1"/>
        <v>1.5100902445080493E-2</v>
      </c>
      <c r="N38" s="7">
        <f ca="1"/>
        <v>8.5571650711960181E-3</v>
      </c>
      <c r="O38" s="7">
        <f ca="1"/>
        <v>-8.4729063297884544E-2</v>
      </c>
      <c r="P38" s="7">
        <f ca="1"/>
        <v>-1.1034825511791944E-2</v>
      </c>
      <c r="Q38" s="7">
        <f ca="1"/>
        <v>1.4828651041626315E-3</v>
      </c>
      <c r="R38" s="7">
        <f ca="1"/>
        <v>2.2128984559547014E-2</v>
      </c>
      <c r="S38" s="7">
        <f ca="1"/>
        <v>1.9682613341991846E-2</v>
      </c>
      <c r="T38" s="7">
        <f ca="1"/>
        <v>4.4470743854404651E-2</v>
      </c>
      <c r="U38" s="7">
        <f ca="1"/>
        <v>4.1819671754511033E-2</v>
      </c>
      <c r="V38" s="7">
        <f ca="1"/>
        <v>4.3511741259365827E-2</v>
      </c>
      <c r="W38" s="7">
        <f ca="1"/>
        <v>9.6757280116338724E-4</v>
      </c>
      <c r="Z38">
        <f ca="1"/>
        <v>8.3951132797441663E-3</v>
      </c>
      <c r="AA38">
        <f ca="1"/>
        <v>6.4123709615656827E-3</v>
      </c>
      <c r="AB38">
        <f ca="1"/>
        <v>2.1436551188039357E-2</v>
      </c>
      <c r="AC38">
        <f ca="1"/>
        <v>1.0136473728690303E-2</v>
      </c>
      <c r="AD38">
        <f ca="1"/>
        <v>8.8438804125057034E-3</v>
      </c>
      <c r="AE38">
        <f ca="1"/>
        <v>5.9313836155569987E-3</v>
      </c>
      <c r="AF38">
        <f ca="1"/>
        <v>4.0959397083966207E-3</v>
      </c>
      <c r="AG38">
        <f ca="1"/>
        <v>5.1970916749576653E-3</v>
      </c>
      <c r="AH38">
        <f ca="1"/>
        <v>3.0573136428738864E-3</v>
      </c>
      <c r="AI38">
        <f ca="1"/>
        <v>4.6683209692262567E-3</v>
      </c>
      <c r="AJ38">
        <f ca="1"/>
        <v>7.0368987580444837E-3</v>
      </c>
      <c r="AK38">
        <v>1</v>
      </c>
      <c r="AP38">
        <v>0</v>
      </c>
      <c r="BB38" s="26">
        <v>1.6500000000000012</v>
      </c>
      <c r="BC38" s="13">
        <f t="shared" si="3"/>
        <v>-0.65000000000000124</v>
      </c>
      <c r="BD38" s="12" cm="1">
        <f t="array" aca="1" ref="BD38" ca="1">BB38^2*$BB$16+BC38^2*$BE$16+2*BB38*BC38*MMULT(MMULT(TRANSPOSE(GMVPORT),COVMAT),ORP)</f>
        <v>3.2105510986507962E-3</v>
      </c>
      <c r="BE38" s="12">
        <f t="shared" ca="1" si="4"/>
        <v>5.6661725164795292E-2</v>
      </c>
      <c r="BF38" s="26">
        <f t="shared" ca="1" si="5"/>
        <v>-6.1932973492366608E-3</v>
      </c>
    </row>
    <row r="39" spans="1:58" x14ac:dyDescent="0.2">
      <c r="A39" s="17">
        <v>44409</v>
      </c>
      <c r="B39" s="18">
        <v>1.8923649993952241E-2</v>
      </c>
      <c r="C39" s="18">
        <v>3.9077555648913583E-2</v>
      </c>
      <c r="D39" s="18">
        <v>-2.0044507100307581E-2</v>
      </c>
      <c r="E39" s="18">
        <v>5.147862604766873E-2</v>
      </c>
      <c r="F39" s="18">
        <v>1.1126215951058119E-2</v>
      </c>
      <c r="G39" s="18">
        <v>3.559333884361382E-2</v>
      </c>
      <c r="H39" s="18">
        <v>1.0488090622269519E-2</v>
      </c>
      <c r="I39" s="18">
        <v>2.80294456180008E-2</v>
      </c>
      <c r="J39" s="18">
        <v>3.8957178587112777E-2</v>
      </c>
      <c r="K39" s="18">
        <v>2.3155718267175551E-2</v>
      </c>
      <c r="L39" s="18">
        <v>1.7846348027107162E-2</v>
      </c>
      <c r="M39" s="7">
        <f ca="1"/>
        <v>8.8179054067717942E-3</v>
      </c>
      <c r="N39" s="7">
        <f ca="1"/>
        <v>2.8144447893093061E-2</v>
      </c>
      <c r="O39" s="7">
        <f ca="1"/>
        <v>-3.0980331664702047E-2</v>
      </c>
      <c r="P39" s="7">
        <f ca="1"/>
        <v>4.1134301263063805E-2</v>
      </c>
      <c r="Q39" s="7">
        <f ca="1"/>
        <v>4.2073014413180829E-5</v>
      </c>
      <c r="R39" s="7">
        <f ca="1"/>
        <v>1.6944991009154895E-2</v>
      </c>
      <c r="S39" s="7">
        <f ca="1"/>
        <v>1.5228467182639756E-3</v>
      </c>
      <c r="T39" s="7">
        <f ca="1"/>
        <v>1.9486569136426678E-2</v>
      </c>
      <c r="U39" s="7">
        <f ca="1"/>
        <v>2.9339809176458127E-2</v>
      </c>
      <c r="V39" s="7">
        <f ca="1"/>
        <v>1.3347121402903587E-2</v>
      </c>
      <c r="W39" s="7">
        <f ca="1"/>
        <v>6.7859089688502884E-3</v>
      </c>
      <c r="Z39">
        <f ca="1"/>
        <v>6.944181550529175E-3</v>
      </c>
      <c r="AA39">
        <f ca="1"/>
        <v>5.8971628176423228E-3</v>
      </c>
      <c r="AB39">
        <f ca="1"/>
        <v>1.0136473728690303E-2</v>
      </c>
      <c r="AC39">
        <f ca="1"/>
        <v>8.4950889790427857E-3</v>
      </c>
      <c r="AD39">
        <f ca="1"/>
        <v>7.3302015534411798E-3</v>
      </c>
      <c r="AE39">
        <f ca="1"/>
        <v>5.5395012307162851E-3</v>
      </c>
      <c r="AF39">
        <f ca="1"/>
        <v>3.6339394593869964E-3</v>
      </c>
      <c r="AG39">
        <f ca="1"/>
        <v>5.4408878023456059E-3</v>
      </c>
      <c r="AH39">
        <f ca="1"/>
        <v>3.2492482672746288E-3</v>
      </c>
      <c r="AI39">
        <f ca="1"/>
        <v>3.9187539343382323E-3</v>
      </c>
      <c r="AJ39">
        <f ca="1"/>
        <v>6.3166181841639302E-3</v>
      </c>
      <c r="AK39">
        <v>1</v>
      </c>
      <c r="AP39">
        <v>0</v>
      </c>
      <c r="BB39" s="26">
        <v>1.6250000000000013</v>
      </c>
      <c r="BC39" s="13">
        <f t="shared" si="3"/>
        <v>-0.62500000000000133</v>
      </c>
      <c r="BD39" s="12" cm="1">
        <f t="array" aca="1" ref="BD39" ca="1">BB39^2*$BB$16+BC39^2*$BE$16+2*BB39*BC39*MMULT(MMULT(TRANSPOSE(GMVPORT),COVMAT),ORP)</f>
        <v>3.0595561803988215E-3</v>
      </c>
      <c r="BE39" s="12">
        <f t="shared" ca="1" si="4"/>
        <v>5.5313255015401339E-2</v>
      </c>
      <c r="BF39" s="26">
        <f t="shared" ca="1" si="5"/>
        <v>-5.6427447243954671E-3</v>
      </c>
    </row>
    <row r="40" spans="1:58" x14ac:dyDescent="0.2">
      <c r="A40" s="17">
        <v>44440</v>
      </c>
      <c r="B40" s="18">
        <v>-7.5925380316590574E-2</v>
      </c>
      <c r="C40" s="18">
        <v>-6.4354142448433072E-2</v>
      </c>
      <c r="D40" s="18">
        <v>7.6239691128979103E-2</v>
      </c>
      <c r="E40" s="18">
        <v>-2.2656336527659859E-2</v>
      </c>
      <c r="F40" s="18">
        <v>-6.3821940281745926E-2</v>
      </c>
      <c r="G40" s="18">
        <v>-6.0052710787628638E-2</v>
      </c>
      <c r="H40" s="18">
        <v>-4.7329117635935607E-2</v>
      </c>
      <c r="I40" s="18">
        <v>-6.774314733525344E-2</v>
      </c>
      <c r="J40" s="18">
        <v>-6.7989540250657732E-2</v>
      </c>
      <c r="K40" s="18">
        <v>-5.8501787119680682E-2</v>
      </c>
      <c r="L40" s="18">
        <v>-2.2869596953507879E-2</v>
      </c>
      <c r="M40" s="7">
        <f ca="1"/>
        <v>-8.6031124903771017E-2</v>
      </c>
      <c r="N40" s="7">
        <f ca="1"/>
        <v>-7.52872502042536E-2</v>
      </c>
      <c r="O40" s="7">
        <f ca="1"/>
        <v>6.5303866564584645E-2</v>
      </c>
      <c r="P40" s="7">
        <f ca="1"/>
        <v>-3.3000661312264784E-2</v>
      </c>
      <c r="Q40" s="7">
        <f ca="1"/>
        <v>-7.4906083218390859E-2</v>
      </c>
      <c r="R40" s="7">
        <f ca="1"/>
        <v>-7.8701058622087566E-2</v>
      </c>
      <c r="S40" s="7">
        <f ca="1"/>
        <v>-5.6294361539941148E-2</v>
      </c>
      <c r="T40" s="7">
        <f ca="1"/>
        <v>-7.6286023816827558E-2</v>
      </c>
      <c r="U40" s="7">
        <f ca="1"/>
        <v>-7.7606909661312382E-2</v>
      </c>
      <c r="V40" s="7">
        <f ca="1"/>
        <v>-6.8310383983952644E-2</v>
      </c>
      <c r="W40" s="7">
        <f ca="1"/>
        <v>-3.3930036011764753E-2</v>
      </c>
      <c r="Z40">
        <f ca="1"/>
        <v>7.1414621844978331E-3</v>
      </c>
      <c r="AA40">
        <f ca="1"/>
        <v>5.7248975958282275E-3</v>
      </c>
      <c r="AB40">
        <f ca="1"/>
        <v>8.8438804125057034E-3</v>
      </c>
      <c r="AC40">
        <f ca="1"/>
        <v>7.3302015534411798E-3</v>
      </c>
      <c r="AD40">
        <f ca="1"/>
        <v>7.8894279543011026E-3</v>
      </c>
      <c r="AE40">
        <f ca="1"/>
        <v>6.1187848709212418E-3</v>
      </c>
      <c r="AF40">
        <f ca="1"/>
        <v>3.9162149364731433E-3</v>
      </c>
      <c r="AG40">
        <f ca="1"/>
        <v>5.5480301114709642E-3</v>
      </c>
      <c r="AH40">
        <f ca="1"/>
        <v>3.5516089701292902E-3</v>
      </c>
      <c r="AI40">
        <f ca="1"/>
        <v>4.2016286846053982E-3</v>
      </c>
      <c r="AJ40">
        <f ca="1"/>
        <v>6.8414872358783015E-3</v>
      </c>
      <c r="AK40">
        <v>1</v>
      </c>
      <c r="AP40">
        <v>0</v>
      </c>
      <c r="BB40" s="26">
        <v>1.6000000000000014</v>
      </c>
      <c r="BC40" s="13">
        <f t="shared" si="3"/>
        <v>-0.60000000000000142</v>
      </c>
      <c r="BD40" s="12" cm="1">
        <f t="array" aca="1" ref="BD40" ca="1">BB40^2*$BB$16+BC40^2*$BE$16+2*BB40*BC40*MMULT(MMULT(TRANSPOSE(GMVPORT),COVMAT),ORP)</f>
        <v>2.9144826314900624E-3</v>
      </c>
      <c r="BE40" s="12">
        <f t="shared" ca="1" si="4"/>
        <v>5.3985948463373894E-2</v>
      </c>
      <c r="BF40" s="26">
        <f t="shared" ca="1" si="5"/>
        <v>-5.0921920995542734E-3</v>
      </c>
    </row>
    <row r="41" spans="1:58" x14ac:dyDescent="0.2">
      <c r="A41" s="17">
        <v>44470</v>
      </c>
      <c r="B41" s="18">
        <v>8.0673964442119495E-2</v>
      </c>
      <c r="C41" s="18">
        <v>4.0868192711152052E-3</v>
      </c>
      <c r="D41" s="18">
        <v>0.1166866025972839</v>
      </c>
      <c r="E41" s="18">
        <v>7.7386256200380865E-2</v>
      </c>
      <c r="F41" s="18">
        <v>7.1417569090985289E-2</v>
      </c>
      <c r="G41" s="18">
        <v>8.3673370590852558E-2</v>
      </c>
      <c r="H41" s="18">
        <v>4.1459669570040658E-2</v>
      </c>
      <c r="I41" s="18">
        <v>8.184221704075223E-2</v>
      </c>
      <c r="J41" s="18">
        <v>5.5363971958897862E-2</v>
      </c>
      <c r="K41" s="18">
        <v>5.492173391611832E-2</v>
      </c>
      <c r="L41" s="18">
        <v>0.122601741660098</v>
      </c>
      <c r="M41" s="7">
        <f ca="1"/>
        <v>7.0568219854939052E-2</v>
      </c>
      <c r="N41" s="7">
        <f ca="1"/>
        <v>-6.8462884847053183E-3</v>
      </c>
      <c r="O41" s="7">
        <f ca="1"/>
        <v>0.10575077803288943</v>
      </c>
      <c r="P41" s="7">
        <f ca="1"/>
        <v>6.7041931415775941E-2</v>
      </c>
      <c r="Q41" s="7">
        <f ca="1"/>
        <v>6.0333426154340349E-2</v>
      </c>
      <c r="R41" s="7">
        <f ca="1"/>
        <v>6.502502275639363E-2</v>
      </c>
      <c r="S41" s="7">
        <f ca="1"/>
        <v>3.2494425666035116E-2</v>
      </c>
      <c r="T41" s="7">
        <f ca="1"/>
        <v>7.3299340559178111E-2</v>
      </c>
      <c r="U41" s="7">
        <f ca="1"/>
        <v>4.5746602548243212E-2</v>
      </c>
      <c r="V41" s="7">
        <f ca="1"/>
        <v>4.5113137051846358E-2</v>
      </c>
      <c r="W41" s="7">
        <f ca="1"/>
        <v>0.11154130260184113</v>
      </c>
      <c r="Z41">
        <f ca="1"/>
        <v>5.7582253046893688E-3</v>
      </c>
      <c r="AA41">
        <f ca="1"/>
        <v>6.4573536438774946E-3</v>
      </c>
      <c r="AB41">
        <f ca="1"/>
        <v>5.9313836155569987E-3</v>
      </c>
      <c r="AC41">
        <f ca="1"/>
        <v>5.5395012307162851E-3</v>
      </c>
      <c r="AD41">
        <f ca="1"/>
        <v>6.1187848709212418E-3</v>
      </c>
      <c r="AE41">
        <f ca="1"/>
        <v>8.1913579016570249E-3</v>
      </c>
      <c r="AF41">
        <f ca="1"/>
        <v>3.1790880327162712E-3</v>
      </c>
      <c r="AG41">
        <f ca="1"/>
        <v>5.1263637342649337E-3</v>
      </c>
      <c r="AH41">
        <f ca="1"/>
        <v>2.6724048510911123E-3</v>
      </c>
      <c r="AI41">
        <f ca="1"/>
        <v>3.7538732086018645E-3</v>
      </c>
      <c r="AJ41">
        <f ca="1"/>
        <v>7.5999624899786575E-3</v>
      </c>
      <c r="AK41">
        <v>1</v>
      </c>
      <c r="AP41">
        <v>0</v>
      </c>
      <c r="BB41" s="26">
        <v>1.5750000000000015</v>
      </c>
      <c r="BC41" s="13">
        <f t="shared" si="3"/>
        <v>-0.57500000000000151</v>
      </c>
      <c r="BD41" s="12" cm="1">
        <f t="array" aca="1" ref="BD41" ca="1">BB41^2*$BB$16+BC41^2*$BE$16+2*BB41*BC41*MMULT(MMULT(TRANSPOSE(GMVPORT),COVMAT),ORP)</f>
        <v>2.7753304519245172E-3</v>
      </c>
      <c r="BE41" s="12">
        <f t="shared" ca="1" si="4"/>
        <v>5.268140518175761E-2</v>
      </c>
      <c r="BF41" s="26">
        <f t="shared" ca="1" si="5"/>
        <v>-4.5416394747130797E-3</v>
      </c>
    </row>
    <row r="42" spans="1:58" x14ac:dyDescent="0.2">
      <c r="A42" s="17">
        <v>44501</v>
      </c>
      <c r="B42" s="18">
        <v>-5.5216860875130216E-3</v>
      </c>
      <c r="C42" s="18">
        <v>-6.139479661205316E-2</v>
      </c>
      <c r="D42" s="18">
        <v>-5.011310715278483E-2</v>
      </c>
      <c r="E42" s="18">
        <v>-5.7128678167292717E-2</v>
      </c>
      <c r="F42" s="18">
        <v>-3.5601543439092609E-2</v>
      </c>
      <c r="G42" s="18">
        <v>4.4511814007033301E-2</v>
      </c>
      <c r="H42" s="18">
        <v>-1.347381494706446E-2</v>
      </c>
      <c r="I42" s="18">
        <v>-8.9921523323202024E-3</v>
      </c>
      <c r="J42" s="18">
        <v>-1.7038004008853799E-2</v>
      </c>
      <c r="K42" s="18">
        <v>-3.0563429132548281E-2</v>
      </c>
      <c r="L42" s="18">
        <v>1.6356360137710361E-2</v>
      </c>
      <c r="M42" s="7">
        <f ca="1"/>
        <v>-1.5627430674693469E-2</v>
      </c>
      <c r="N42" s="7">
        <f ca="1"/>
        <v>-7.2327904367873688E-2</v>
      </c>
      <c r="O42" s="7">
        <f ca="1"/>
        <v>-6.1048931717179296E-2</v>
      </c>
      <c r="P42" s="7">
        <f ca="1"/>
        <v>-6.7473002951897648E-2</v>
      </c>
      <c r="Q42" s="7">
        <f ca="1"/>
        <v>-4.6685686375737549E-2</v>
      </c>
      <c r="R42" s="7">
        <f ca="1"/>
        <v>2.5863466172574377E-2</v>
      </c>
      <c r="S42" s="7">
        <f ca="1"/>
        <v>-2.2439058851070004E-2</v>
      </c>
      <c r="T42" s="7">
        <f ca="1"/>
        <v>-1.7535028813894325E-2</v>
      </c>
      <c r="U42" s="7">
        <f ca="1"/>
        <v>-2.6655373419508452E-2</v>
      </c>
      <c r="V42" s="7">
        <f ca="1"/>
        <v>-4.0372025996820243E-2</v>
      </c>
      <c r="W42" s="7">
        <f ca="1"/>
        <v>5.2959210794534875E-3</v>
      </c>
      <c r="Z42">
        <f ca="1"/>
        <v>3.8320149763212651E-3</v>
      </c>
      <c r="AA42">
        <f ca="1"/>
        <v>2.9191157563219533E-3</v>
      </c>
      <c r="AB42">
        <f ca="1"/>
        <v>4.0959397083966207E-3</v>
      </c>
      <c r="AC42">
        <f ca="1"/>
        <v>3.6339394593869964E-3</v>
      </c>
      <c r="AD42">
        <f ca="1"/>
        <v>3.9162149364731433E-3</v>
      </c>
      <c r="AE42">
        <f ca="1"/>
        <v>3.1790880327162712E-3</v>
      </c>
      <c r="AF42">
        <f ca="1"/>
        <v>3.3151283222533894E-3</v>
      </c>
      <c r="AG42">
        <f ca="1"/>
        <v>3.485881758636285E-3</v>
      </c>
      <c r="AH42">
        <f ca="1"/>
        <v>2.8750273044065322E-3</v>
      </c>
      <c r="AI42">
        <f ca="1"/>
        <v>2.7025265750564207E-3</v>
      </c>
      <c r="AJ42">
        <f ca="1"/>
        <v>3.156052989110536E-3</v>
      </c>
      <c r="AK42">
        <v>1</v>
      </c>
      <c r="AP42">
        <v>0</v>
      </c>
      <c r="BB42" s="26">
        <v>1.5500000000000016</v>
      </c>
      <c r="BC42" s="13">
        <f t="shared" si="3"/>
        <v>-0.5500000000000016</v>
      </c>
      <c r="BD42" s="12" cm="1">
        <f t="array" aca="1" ref="BD42" ca="1">BB42^2*$BB$16+BC42^2*$BE$16+2*BB42*BC42*MMULT(MMULT(TRANSPOSE(GMVPORT),COVMAT),ORP)</f>
        <v>2.6420996417021868E-3</v>
      </c>
      <c r="BE42" s="12">
        <f t="shared" ca="1" si="4"/>
        <v>5.1401358364368023E-2</v>
      </c>
      <c r="BF42" s="26">
        <f t="shared" ca="1" si="5"/>
        <v>-3.991086849871886E-3</v>
      </c>
    </row>
    <row r="43" spans="1:58" x14ac:dyDescent="0.2">
      <c r="A43" s="17">
        <v>44531</v>
      </c>
      <c r="B43" s="18">
        <v>7.0407530422196274E-2</v>
      </c>
      <c r="C43" s="18">
        <v>3.0648757589566641E-2</v>
      </c>
      <c r="D43" s="18">
        <v>1.6669701764231881E-2</v>
      </c>
      <c r="E43" s="18">
        <v>2.871446336945449E-2</v>
      </c>
      <c r="F43" s="18">
        <v>5.0015038370690768E-2</v>
      </c>
      <c r="G43" s="18">
        <v>3.0523790478613311E-2</v>
      </c>
      <c r="H43" s="18">
        <v>9.7026599290378712E-2</v>
      </c>
      <c r="I43" s="18">
        <v>9.3268893521039953E-2</v>
      </c>
      <c r="J43" s="18">
        <v>8.8338346160964365E-2</v>
      </c>
      <c r="K43" s="18">
        <v>8.6024836086648682E-2</v>
      </c>
      <c r="L43" s="18">
        <v>0</v>
      </c>
      <c r="M43" s="7">
        <f ca="1"/>
        <v>6.0301785835015831E-2</v>
      </c>
      <c r="N43" s="7">
        <f ca="1"/>
        <v>1.9715649833746116E-2</v>
      </c>
      <c r="O43" s="7">
        <f ca="1"/>
        <v>5.7338771998374158E-3</v>
      </c>
      <c r="P43" s="7">
        <f ca="1"/>
        <v>1.8370138584849562E-2</v>
      </c>
      <c r="Q43" s="7">
        <f ca="1"/>
        <v>3.8930895434045827E-2</v>
      </c>
      <c r="R43" s="7">
        <f ca="1"/>
        <v>1.1875442644154386E-2</v>
      </c>
      <c r="S43" s="7">
        <f ca="1"/>
        <v>8.8061355386373164E-2</v>
      </c>
      <c r="T43" s="7">
        <f ca="1"/>
        <v>8.4726017039465834E-2</v>
      </c>
      <c r="U43" s="7">
        <f ca="1"/>
        <v>7.8720976750309715E-2</v>
      </c>
      <c r="V43" s="7">
        <f ca="1"/>
        <v>7.6216239222376719E-2</v>
      </c>
      <c r="W43" s="7">
        <f ca="1"/>
        <v>-1.1060439058256873E-2</v>
      </c>
      <c r="Z43">
        <f ca="1"/>
        <v>5.709446157103417E-3</v>
      </c>
      <c r="AA43">
        <f ca="1"/>
        <v>4.9379556196578753E-3</v>
      </c>
      <c r="AB43">
        <f ca="1"/>
        <v>5.1970916749576653E-3</v>
      </c>
      <c r="AC43">
        <f ca="1"/>
        <v>5.4408878023456059E-3</v>
      </c>
      <c r="AD43">
        <f ca="1"/>
        <v>5.5480301114709642E-3</v>
      </c>
      <c r="AE43">
        <f ca="1"/>
        <v>5.1263637342649337E-3</v>
      </c>
      <c r="AF43">
        <f ca="1"/>
        <v>3.485881758636285E-3</v>
      </c>
      <c r="AG43">
        <f ca="1"/>
        <v>6.8061430177284322E-3</v>
      </c>
      <c r="AH43">
        <f ca="1"/>
        <v>4.070461585989082E-3</v>
      </c>
      <c r="AI43">
        <f ca="1"/>
        <v>3.6465943283933476E-3</v>
      </c>
      <c r="AJ43">
        <f ca="1"/>
        <v>6.1985615165923496E-3</v>
      </c>
      <c r="AK43">
        <v>1</v>
      </c>
      <c r="AP43">
        <v>0</v>
      </c>
      <c r="BB43" s="26">
        <v>1.5250000000000017</v>
      </c>
      <c r="BC43" s="13">
        <f t="shared" si="3"/>
        <v>-0.52500000000000169</v>
      </c>
      <c r="BD43" s="12" cm="1">
        <f t="array" aca="1" ref="BD43" ca="1">BB43^2*$BB$16+BC43^2*$BE$16+2*BB43*BC43*MMULT(MMULT(TRANSPOSE(GMVPORT),COVMAT),ORP)</f>
        <v>2.5147902008230711E-3</v>
      </c>
      <c r="BE43" s="12">
        <f t="shared" ca="1" si="4"/>
        <v>5.0147683902879013E-2</v>
      </c>
      <c r="BF43" s="26">
        <f t="shared" ca="1" si="5"/>
        <v>-3.4405342250306923E-3</v>
      </c>
    </row>
    <row r="44" spans="1:58" x14ac:dyDescent="0.2">
      <c r="A44" s="17">
        <v>44562</v>
      </c>
      <c r="B44" s="18">
        <v>-6.3260363292619415E-2</v>
      </c>
      <c r="C44" s="18">
        <v>-4.605932420650638E-2</v>
      </c>
      <c r="D44" s="18">
        <v>0.20312714333862211</v>
      </c>
      <c r="E44" s="18">
        <v>5.0482496165271673E-3</v>
      </c>
      <c r="F44" s="18">
        <v>-4.432450161527024E-2</v>
      </c>
      <c r="G44" s="18">
        <v>-6.6679492392924922E-2</v>
      </c>
      <c r="H44" s="18">
        <v>-8.0303885756152216E-3</v>
      </c>
      <c r="I44" s="18">
        <v>-7.8451648893005599E-2</v>
      </c>
      <c r="J44" s="18">
        <v>-2.4946808796899589E-2</v>
      </c>
      <c r="K44" s="18">
        <v>-6.498482004970374E-2</v>
      </c>
      <c r="L44" s="18">
        <v>-9.3978878343896066E-2</v>
      </c>
      <c r="M44" s="7">
        <f ca="1"/>
        <v>-7.3366107879799858E-2</v>
      </c>
      <c r="N44" s="7">
        <f ca="1"/>
        <v>-5.6992431962326902E-2</v>
      </c>
      <c r="O44" s="7">
        <f ca="1"/>
        <v>0.19219131877422765</v>
      </c>
      <c r="P44" s="7">
        <f ca="1"/>
        <v>-5.2960751680777608E-3</v>
      </c>
      <c r="Q44" s="7">
        <f ca="1"/>
        <v>-5.540864455191518E-2</v>
      </c>
      <c r="R44" s="7">
        <f ca="1"/>
        <v>-8.532784022738385E-2</v>
      </c>
      <c r="S44" s="7">
        <f ca="1"/>
        <v>-1.6995632479620763E-2</v>
      </c>
      <c r="T44" s="7">
        <f ca="1"/>
        <v>-8.6994525374579718E-2</v>
      </c>
      <c r="U44" s="7">
        <f ca="1"/>
        <v>-3.4564178207554239E-2</v>
      </c>
      <c r="V44" s="7">
        <f ca="1"/>
        <v>-7.4793416913975702E-2</v>
      </c>
      <c r="W44" s="7">
        <f ca="1"/>
        <v>-0.10503931740215294</v>
      </c>
      <c r="Z44">
        <f ca="1"/>
        <v>3.8225313356706919E-3</v>
      </c>
      <c r="AA44">
        <f ca="1"/>
        <v>2.81894545301871E-3</v>
      </c>
      <c r="AB44">
        <f ca="1"/>
        <v>3.0573136428738864E-3</v>
      </c>
      <c r="AC44">
        <f ca="1"/>
        <v>3.2492482672746288E-3</v>
      </c>
      <c r="AD44">
        <f ca="1"/>
        <v>3.5516089701292902E-3</v>
      </c>
      <c r="AE44">
        <f ca="1"/>
        <v>2.6724048510911123E-3</v>
      </c>
      <c r="AF44">
        <f ca="1"/>
        <v>2.8750273044065322E-3</v>
      </c>
      <c r="AG44">
        <f ca="1"/>
        <v>4.070461585989082E-3</v>
      </c>
      <c r="AH44">
        <f ca="1"/>
        <v>4.9522945418370131E-3</v>
      </c>
      <c r="AI44">
        <f ca="1"/>
        <v>2.4292157591326411E-3</v>
      </c>
      <c r="AJ44">
        <f ca="1"/>
        <v>3.1088247842385591E-3</v>
      </c>
      <c r="AK44">
        <v>1</v>
      </c>
      <c r="AP44">
        <v>0</v>
      </c>
      <c r="BB44" s="26">
        <v>1.5000000000000018</v>
      </c>
      <c r="BC44" s="13">
        <f t="shared" si="3"/>
        <v>-0.50000000000000178</v>
      </c>
      <c r="BD44" s="12" cm="1">
        <f t="array" aca="1" ref="BD44" ca="1">BB44^2*$BB$16+BC44^2*$BE$16+2*BB44*BC44*MMULT(MMULT(TRANSPOSE(GMVPORT),COVMAT),ORP)</f>
        <v>2.3934021292871697E-3</v>
      </c>
      <c r="BE44" s="12">
        <f t="shared" ca="1" si="4"/>
        <v>4.8922409275169283E-2</v>
      </c>
      <c r="BF44" s="26">
        <f t="shared" ca="1" si="5"/>
        <v>-2.8899816001895003E-3</v>
      </c>
    </row>
    <row r="45" spans="1:58" x14ac:dyDescent="0.2">
      <c r="A45" s="17">
        <v>44593</v>
      </c>
      <c r="B45" s="18">
        <v>-1.2670301055997091E-2</v>
      </c>
      <c r="C45" s="18">
        <v>-7.437458508689665E-2</v>
      </c>
      <c r="D45" s="18">
        <v>7.0691607786527833E-2</v>
      </c>
      <c r="E45" s="18">
        <v>-1.3824978081361849E-2</v>
      </c>
      <c r="F45" s="18">
        <v>-8.4373935169960168E-3</v>
      </c>
      <c r="G45" s="18">
        <v>-4.8774429776945898E-2</v>
      </c>
      <c r="H45" s="18">
        <v>-1.4084414322312999E-2</v>
      </c>
      <c r="I45" s="18">
        <v>-4.7950795204230623E-2</v>
      </c>
      <c r="J45" s="18">
        <v>-1.9061319852550329E-2</v>
      </c>
      <c r="K45" s="18">
        <v>-9.6773674617519623E-3</v>
      </c>
      <c r="L45" s="18">
        <v>-4.0659840014976467E-2</v>
      </c>
      <c r="M45" s="7">
        <f ca="1"/>
        <v>-2.2776045643177537E-2</v>
      </c>
      <c r="N45" s="7">
        <f ca="1"/>
        <v>-8.5307692842717178E-2</v>
      </c>
      <c r="O45" s="7">
        <f ca="1"/>
        <v>5.9755783222133367E-2</v>
      </c>
      <c r="P45" s="7">
        <f ca="1"/>
        <v>-2.4169302865966778E-2</v>
      </c>
      <c r="Q45" s="7">
        <f ca="1"/>
        <v>-1.9521536453640957E-2</v>
      </c>
      <c r="R45" s="7">
        <f ca="1"/>
        <v>-6.7422777611404819E-2</v>
      </c>
      <c r="S45" s="7">
        <f ca="1"/>
        <v>-2.3049658226318541E-2</v>
      </c>
      <c r="T45" s="7">
        <f ca="1"/>
        <v>-5.6493671685804742E-2</v>
      </c>
      <c r="U45" s="7">
        <f ca="1"/>
        <v>-2.8678689263204979E-2</v>
      </c>
      <c r="V45" s="7">
        <f ca="1"/>
        <v>-1.9485964326023925E-2</v>
      </c>
      <c r="W45" s="7">
        <f ca="1"/>
        <v>-5.1720279073233344E-2</v>
      </c>
      <c r="Z45">
        <f ca="1"/>
        <v>4.2160594592533553E-3</v>
      </c>
      <c r="AA45">
        <f ca="1"/>
        <v>3.3095883752832463E-3</v>
      </c>
      <c r="AB45">
        <f ca="1"/>
        <v>4.6683209692262567E-3</v>
      </c>
      <c r="AC45">
        <f ca="1"/>
        <v>3.9187539343382323E-3</v>
      </c>
      <c r="AD45">
        <f ca="1"/>
        <v>4.2016286846053982E-3</v>
      </c>
      <c r="AE45">
        <f ca="1"/>
        <v>3.7538732086018645E-3</v>
      </c>
      <c r="AF45">
        <f ca="1"/>
        <v>2.7025265750564207E-3</v>
      </c>
      <c r="AG45">
        <f ca="1"/>
        <v>3.6465943283933476E-3</v>
      </c>
      <c r="AH45">
        <f ca="1"/>
        <v>2.4292157591326411E-3</v>
      </c>
      <c r="AI45">
        <f ca="1"/>
        <v>3.9358899207996801E-3</v>
      </c>
      <c r="AJ45">
        <f ca="1"/>
        <v>3.9003418238303315E-3</v>
      </c>
      <c r="AK45">
        <v>1</v>
      </c>
      <c r="AP45">
        <v>0</v>
      </c>
      <c r="BB45" s="26">
        <v>1.4750000000000019</v>
      </c>
      <c r="BC45" s="13">
        <f t="shared" si="3"/>
        <v>-0.47500000000000187</v>
      </c>
      <c r="BD45" s="12" cm="1">
        <f t="array" aca="1" ref="BD45" ca="1">BB45^2*$BB$16+BC45^2*$BE$16+2*BB45*BC45*MMULT(MMULT(TRANSPOSE(GMVPORT),COVMAT),ORP)</f>
        <v>2.2779354270944839E-3</v>
      </c>
      <c r="BE45" s="12">
        <f t="shared" ca="1" si="4"/>
        <v>4.77277217882279E-2</v>
      </c>
      <c r="BF45" s="26">
        <f t="shared" ca="1" si="5"/>
        <v>-2.3394289753483066E-3</v>
      </c>
    </row>
    <row r="46" spans="1:58" x14ac:dyDescent="0.2">
      <c r="A46" s="17">
        <v>44621</v>
      </c>
      <c r="B46" s="18">
        <v>5.7207998250178298E-2</v>
      </c>
      <c r="C46" s="18">
        <v>4.8212462397543288E-3</v>
      </c>
      <c r="D46" s="18">
        <v>8.3026483611124302E-2</v>
      </c>
      <c r="E46" s="18">
        <v>-5.1921936932388668E-3</v>
      </c>
      <c r="F46" s="18">
        <v>3.093396711612861E-2</v>
      </c>
      <c r="G46" s="18">
        <v>3.1544096471552097E-2</v>
      </c>
      <c r="H46" s="18">
        <v>1.3217492275566119E-2</v>
      </c>
      <c r="I46" s="18">
        <v>7.2109878853478637E-2</v>
      </c>
      <c r="J46" s="18">
        <v>9.6128402711925354E-2</v>
      </c>
      <c r="K46" s="18">
        <v>5.4093627922466643E-2</v>
      </c>
      <c r="L46" s="18">
        <v>4.2664834320526479E-2</v>
      </c>
      <c r="M46" s="7">
        <f ca="1"/>
        <v>4.7102253662997848E-2</v>
      </c>
      <c r="N46" s="7">
        <f ca="1"/>
        <v>-6.1118615160661947E-3</v>
      </c>
      <c r="O46" s="7">
        <f ca="1"/>
        <v>7.2090659046729844E-2</v>
      </c>
      <c r="P46" s="7">
        <f ca="1"/>
        <v>-1.5536518477843795E-2</v>
      </c>
      <c r="Q46" s="7">
        <f ca="1"/>
        <v>1.9849824179483673E-2</v>
      </c>
      <c r="R46" s="7">
        <f ca="1"/>
        <v>1.2895748637093172E-2</v>
      </c>
      <c r="S46" s="7">
        <f ca="1"/>
        <v>4.2522483715605758E-3</v>
      </c>
      <c r="T46" s="7">
        <f ca="1"/>
        <v>6.3567002371904519E-2</v>
      </c>
      <c r="U46" s="7">
        <f ca="1"/>
        <v>8.6511033301270704E-2</v>
      </c>
      <c r="V46" s="7">
        <f ca="1"/>
        <v>4.4285031058194681E-2</v>
      </c>
      <c r="W46" s="7">
        <f ca="1"/>
        <v>3.1604395262269602E-2</v>
      </c>
      <c r="Z46">
        <f ca="1"/>
        <v>6.8215148504391296E-3</v>
      </c>
      <c r="AA46">
        <f ca="1"/>
        <v>6.5280687896181223E-3</v>
      </c>
      <c r="AB46">
        <f ca="1"/>
        <v>7.0368987580444837E-3</v>
      </c>
      <c r="AC46">
        <f ca="1"/>
        <v>6.3166181841639302E-3</v>
      </c>
      <c r="AD46">
        <f ca="1"/>
        <v>6.8414872358783015E-3</v>
      </c>
      <c r="AE46">
        <f ca="1"/>
        <v>7.5999624899786575E-3</v>
      </c>
      <c r="AF46">
        <f ca="1"/>
        <v>3.156052989110536E-3</v>
      </c>
      <c r="AG46">
        <f ca="1"/>
        <v>6.1985615165923496E-3</v>
      </c>
      <c r="AH46">
        <f ca="1"/>
        <v>3.1088247842385591E-3</v>
      </c>
      <c r="AI46">
        <f ca="1"/>
        <v>3.9003418238303315E-3</v>
      </c>
      <c r="AJ46">
        <f ca="1"/>
        <v>9.3415948076678197E-3</v>
      </c>
      <c r="AK46">
        <v>1</v>
      </c>
      <c r="AP46">
        <v>0</v>
      </c>
      <c r="BB46" s="26">
        <v>1.450000000000002</v>
      </c>
      <c r="BC46" s="13">
        <f t="shared" si="3"/>
        <v>-0.45000000000000195</v>
      </c>
      <c r="BD46" s="12" cm="1">
        <f t="array" aca="1" ref="BD46" ca="1">BB46^2*$BB$16+BC46^2*$BE$16+2*BB46*BC46*MMULT(MMULT(TRANSPOSE(GMVPORT),COVMAT),ORP)</f>
        <v>2.168390094245012E-3</v>
      </c>
      <c r="BE46" s="12">
        <f t="shared" ca="1" si="4"/>
        <v>4.6565975714517267E-2</v>
      </c>
      <c r="BF46" s="26">
        <f t="shared" ca="1" si="5"/>
        <v>-1.7888763505071112E-3</v>
      </c>
    </row>
    <row r="47" spans="1:58" x14ac:dyDescent="0.2">
      <c r="A47" s="17">
        <v>44652</v>
      </c>
      <c r="B47" s="18">
        <v>-3.1761974907745787E-2</v>
      </c>
      <c r="C47" s="18">
        <v>-0.13913753641756069</v>
      </c>
      <c r="D47" s="18">
        <v>-7.4720063669625469E-3</v>
      </c>
      <c r="E47" s="18">
        <v>-9.5902222648647006E-2</v>
      </c>
      <c r="F47" s="18">
        <v>-7.3057724759748699E-2</v>
      </c>
      <c r="G47" s="18">
        <v>-0.1085300031437285</v>
      </c>
      <c r="H47" s="18">
        <v>2.770027260143304E-2</v>
      </c>
      <c r="I47" s="18">
        <v>-3.0071742695079281E-2</v>
      </c>
      <c r="J47" s="18">
        <v>-3.6581582630474403E-2</v>
      </c>
      <c r="K47" s="18">
        <v>-4.5942097184225927E-2</v>
      </c>
      <c r="L47" s="18">
        <v>-0.1182150279651959</v>
      </c>
      <c r="M47" s="7">
        <f ca="1"/>
        <v>-4.1867719494926237E-2</v>
      </c>
      <c r="N47" s="7">
        <f ca="1"/>
        <v>-0.1500706441733812</v>
      </c>
      <c r="O47" s="7">
        <f ca="1"/>
        <v>-1.8407830931357012E-2</v>
      </c>
      <c r="P47" s="7">
        <f ca="1"/>
        <v>-0.10624654743325193</v>
      </c>
      <c r="Q47" s="7">
        <f ca="1"/>
        <v>-8.4141867696393632E-2</v>
      </c>
      <c r="R47" s="7">
        <f ca="1"/>
        <v>-0.12717835097818742</v>
      </c>
      <c r="S47" s="7">
        <f ca="1"/>
        <v>1.8735028697427498E-2</v>
      </c>
      <c r="T47" s="7">
        <f ca="1"/>
        <v>-3.8614619176653403E-2</v>
      </c>
      <c r="U47" s="7">
        <f ca="1"/>
        <v>-4.6198952041129053E-2</v>
      </c>
      <c r="V47" s="7">
        <f ca="1"/>
        <v>-5.575069404849789E-2</v>
      </c>
      <c r="W47" s="7">
        <f ca="1"/>
        <v>-0.12927546702345277</v>
      </c>
      <c r="Z47" cm="1">
        <f t="array" ref="Z47:AJ47">TRANSPOSE(ONEVEC)</f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P47">
        <v>1</v>
      </c>
      <c r="BB47" s="26">
        <v>1.425000000000002</v>
      </c>
      <c r="BC47" s="13">
        <f t="shared" si="3"/>
        <v>-0.42500000000000204</v>
      </c>
      <c r="BD47" s="12" cm="1">
        <f t="array" aca="1" ref="BD47" ca="1">BB47^2*$BB$16+BC47^2*$BE$16+2*BB47*BC47*MMULT(MMULT(TRANSPOSE(GMVPORT),COVMAT),ORP)</f>
        <v>2.0647661307387549E-3</v>
      </c>
      <c r="BE47" s="12">
        <f t="shared" ca="1" si="4"/>
        <v>4.5439697740398265E-2</v>
      </c>
      <c r="BF47" s="26">
        <f t="shared" ca="1" si="5"/>
        <v>-1.2383237256659192E-3</v>
      </c>
    </row>
    <row r="48" spans="1:58" x14ac:dyDescent="0.2">
      <c r="A48" s="17">
        <v>44682</v>
      </c>
      <c r="B48" s="18">
        <v>1.176055839099455E-2</v>
      </c>
      <c r="C48" s="18">
        <v>1.896378615284133E-2</v>
      </c>
      <c r="D48" s="18">
        <v>0.16034597219789101</v>
      </c>
      <c r="E48" s="18">
        <v>2.781813387534848E-2</v>
      </c>
      <c r="F48" s="18">
        <v>-4.6248989731890733E-3</v>
      </c>
      <c r="G48" s="18">
        <v>-6.8591638972198554E-3</v>
      </c>
      <c r="H48" s="18">
        <v>-4.0829516098089158E-2</v>
      </c>
      <c r="I48" s="18">
        <v>-5.1072911642239593E-2</v>
      </c>
      <c r="J48" s="18">
        <v>4.308189515628813E-2</v>
      </c>
      <c r="K48" s="18">
        <v>1.4889707473404011E-2</v>
      </c>
      <c r="L48" s="18">
        <v>-5.1203102469514761E-2</v>
      </c>
      <c r="M48" s="7">
        <f ca="1"/>
        <v>1.6548138038141036E-3</v>
      </c>
      <c r="N48" s="7">
        <f ca="1"/>
        <v>8.0306783970208063E-3</v>
      </c>
      <c r="O48" s="7">
        <f ca="1"/>
        <v>0.14941014763349655</v>
      </c>
      <c r="P48" s="7">
        <f ca="1"/>
        <v>1.7473809090743551E-2</v>
      </c>
      <c r="Q48" s="7">
        <f ca="1"/>
        <v>-1.5709041909834014E-2</v>
      </c>
      <c r="R48" s="7">
        <f ca="1"/>
        <v>-2.550751173167878E-2</v>
      </c>
      <c r="S48" s="7">
        <f ca="1"/>
        <v>-4.97947600020947E-2</v>
      </c>
      <c r="T48" s="7">
        <f ca="1"/>
        <v>-5.9615788123813712E-2</v>
      </c>
      <c r="U48" s="7">
        <f ca="1"/>
        <v>3.346452574563348E-2</v>
      </c>
      <c r="V48" s="7">
        <f ca="1"/>
        <v>5.0811106091320467E-3</v>
      </c>
      <c r="W48" s="7">
        <f ca="1"/>
        <v>-6.2263541527771638E-2</v>
      </c>
      <c r="BB48" s="26">
        <v>1.4000000000000021</v>
      </c>
      <c r="BC48" s="13">
        <f t="shared" si="3"/>
        <v>-0.40000000000000213</v>
      </c>
      <c r="BD48" s="12" cm="1">
        <f t="array" aca="1" ref="BD48" ca="1">BB48^2*$BB$16+BC48^2*$BE$16+2*BB48*BC48*MMULT(MMULT(TRANSPOSE(GMVPORT),COVMAT),ORP)</f>
        <v>1.9670635365757125E-3</v>
      </c>
      <c r="BE48" s="12">
        <f t="shared" ca="1" si="4"/>
        <v>4.4351590011810313E-2</v>
      </c>
      <c r="BF48" s="26">
        <f t="shared" ca="1" si="5"/>
        <v>-6.8777110082472552E-4</v>
      </c>
    </row>
    <row r="49" spans="1:58" x14ac:dyDescent="0.2">
      <c r="A49" s="17">
        <v>44713</v>
      </c>
      <c r="B49" s="18">
        <v>-0.14448435759762809</v>
      </c>
      <c r="C49" s="18">
        <v>-9.8205405613311592E-2</v>
      </c>
      <c r="D49" s="18">
        <v>-0.17993100208794319</v>
      </c>
      <c r="E49" s="18">
        <v>-0.1133352548197598</v>
      </c>
      <c r="F49" s="18">
        <v>-7.7718965266232232E-2</v>
      </c>
      <c r="G49" s="18">
        <v>-9.4909172871054381E-2</v>
      </c>
      <c r="H49" s="18">
        <v>-3.0750496499869051E-2</v>
      </c>
      <c r="I49" s="18">
        <v>-7.598373949142323E-2</v>
      </c>
      <c r="J49" s="18">
        <v>-5.6505073741425438E-2</v>
      </c>
      <c r="K49" s="18">
        <v>-3.017438641040027E-2</v>
      </c>
      <c r="L49" s="18">
        <v>-0.1103922848486157</v>
      </c>
      <c r="M49" s="7">
        <f ca="1"/>
        <v>-0.15459010218480854</v>
      </c>
      <c r="N49" s="7">
        <f ca="1"/>
        <v>-0.10913851336913212</v>
      </c>
      <c r="O49" s="7">
        <f ca="1"/>
        <v>-0.19086682665233765</v>
      </c>
      <c r="P49" s="7">
        <f ca="1"/>
        <v>-0.12367957960436472</v>
      </c>
      <c r="Q49" s="7">
        <f ca="1"/>
        <v>-8.8803108202877165E-2</v>
      </c>
      <c r="R49" s="7">
        <f ca="1"/>
        <v>-0.11355752070551331</v>
      </c>
      <c r="S49" s="7">
        <f ca="1"/>
        <v>-3.9715740403874593E-2</v>
      </c>
      <c r="T49" s="7">
        <f ca="1"/>
        <v>-8.4526615972997349E-2</v>
      </c>
      <c r="U49" s="7">
        <f ca="1"/>
        <v>-6.6122443152080088E-2</v>
      </c>
      <c r="V49" s="7">
        <f ca="1"/>
        <v>-3.9982983274672236E-2</v>
      </c>
      <c r="W49" s="7">
        <f ca="1"/>
        <v>-0.12145272390687258</v>
      </c>
      <c r="BB49" s="26">
        <v>1.3750000000000022</v>
      </c>
      <c r="BC49" s="13">
        <f t="shared" si="3"/>
        <v>-0.37500000000000222</v>
      </c>
      <c r="BD49" s="12" cm="1">
        <f t="array" aca="1" ref="BD49" ca="1">BB49^2*$BB$16+BC49^2*$BE$16+2*BB49*BC49*MMULT(MMULT(TRANSPOSE(GMVPORT),COVMAT),ORP)</f>
        <v>1.8752823117558848E-3</v>
      </c>
      <c r="BE49" s="12">
        <f t="shared" ca="1" si="4"/>
        <v>4.3304529921890211E-2</v>
      </c>
      <c r="BF49" s="26">
        <f t="shared" ca="1" si="5"/>
        <v>-1.3721847598353182E-4</v>
      </c>
    </row>
    <row r="50" spans="1:58" x14ac:dyDescent="0.2">
      <c r="A50" s="17">
        <v>44743</v>
      </c>
      <c r="B50" s="18">
        <v>6.8896452498209415E-2</v>
      </c>
      <c r="C50" s="18">
        <v>4.1209444768891552E-2</v>
      </c>
      <c r="D50" s="18">
        <v>0.108927599799115</v>
      </c>
      <c r="E50" s="18">
        <v>7.7573704048053527E-2</v>
      </c>
      <c r="F50" s="18">
        <v>9.9838532410087444E-2</v>
      </c>
      <c r="G50" s="18">
        <v>0.13746672357979059</v>
      </c>
      <c r="H50" s="18">
        <v>3.9752735081798551E-2</v>
      </c>
      <c r="I50" s="18">
        <v>9.390212192251135E-2</v>
      </c>
      <c r="J50" s="18">
        <v>6.2908813662414964E-2</v>
      </c>
      <c r="K50" s="18">
        <v>3.6797577899134737E-2</v>
      </c>
      <c r="L50" s="18">
        <v>0.1871291868797702</v>
      </c>
      <c r="M50" s="7">
        <f ca="1"/>
        <v>5.8790707911028972E-2</v>
      </c>
      <c r="N50" s="7">
        <f ca="1"/>
        <v>3.0276337013071031E-2</v>
      </c>
      <c r="O50" s="7">
        <f ca="1"/>
        <v>9.7991775234720524E-2</v>
      </c>
      <c r="P50" s="7">
        <f ca="1"/>
        <v>6.7229379263448602E-2</v>
      </c>
      <c r="Q50" s="7">
        <f ca="1"/>
        <v>8.875438947344251E-2</v>
      </c>
      <c r="R50" s="7">
        <f ca="1"/>
        <v>0.11881837574533166</v>
      </c>
      <c r="S50" s="7">
        <f ca="1"/>
        <v>3.078749117779301E-2</v>
      </c>
      <c r="T50" s="7">
        <f ca="1"/>
        <v>8.5359245440937231E-2</v>
      </c>
      <c r="U50" s="7">
        <f ca="1"/>
        <v>5.3291444251760314E-2</v>
      </c>
      <c r="V50" s="7">
        <f ca="1"/>
        <v>2.6988981034862775E-2</v>
      </c>
      <c r="W50" s="7">
        <f ca="1"/>
        <v>0.17606874782151333</v>
      </c>
      <c r="Z50" s="61" t="s">
        <v>39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P50" s="28" t="s">
        <v>41</v>
      </c>
      <c r="AQ50" s="28" t="s">
        <v>40</v>
      </c>
      <c r="BB50" s="26">
        <v>1.3500000000000023</v>
      </c>
      <c r="BC50" s="13">
        <f t="shared" si="3"/>
        <v>-0.35000000000000231</v>
      </c>
      <c r="BD50" s="12" cm="1">
        <f t="array" aca="1" ref="BD50" ca="1">BB50^2*$BB$16+BC50^2*$BE$16+2*BB50*BC50*MMULT(MMULT(TRANSPOSE(GMVPORT),COVMAT),ORP)</f>
        <v>1.7894224562792717E-3</v>
      </c>
      <c r="BE50" s="12">
        <f t="shared" ca="1" si="4"/>
        <v>4.2301565648085314E-2</v>
      </c>
      <c r="BF50" s="26">
        <f t="shared" ca="1" si="5"/>
        <v>4.1333414885766188E-4</v>
      </c>
    </row>
    <row r="51" spans="1:58" x14ac:dyDescent="0.2">
      <c r="A51" s="17">
        <v>44774</v>
      </c>
      <c r="B51" s="18">
        <v>-3.4813696429122798E-2</v>
      </c>
      <c r="C51" s="18">
        <v>-3.530235586606989E-2</v>
      </c>
      <c r="D51" s="18">
        <v>2.65237991756524E-2</v>
      </c>
      <c r="E51" s="18">
        <v>-1.9578665047100489E-2</v>
      </c>
      <c r="F51" s="18">
        <v>-2.8335366731834791E-2</v>
      </c>
      <c r="G51" s="18">
        <v>-6.2127245157018063E-2</v>
      </c>
      <c r="H51" s="18">
        <v>-1.8525975984189369E-2</v>
      </c>
      <c r="I51" s="18">
        <v>-5.6156994841142449E-2</v>
      </c>
      <c r="J51" s="18">
        <v>5.2738094592175164E-3</v>
      </c>
      <c r="K51" s="18">
        <v>-5.7703866481832011E-2</v>
      </c>
      <c r="L51" s="18">
        <v>-4.4954876125611547E-2</v>
      </c>
      <c r="M51" s="7">
        <f ca="1"/>
        <v>-4.4919441016303241E-2</v>
      </c>
      <c r="N51" s="7">
        <f ca="1"/>
        <v>-4.6235463621890412E-2</v>
      </c>
      <c r="O51" s="7">
        <f ca="1"/>
        <v>1.5587974611257934E-2</v>
      </c>
      <c r="P51" s="7">
        <f ca="1"/>
        <v>-2.9922989831705417E-2</v>
      </c>
      <c r="Q51" s="7">
        <f ca="1"/>
        <v>-3.9419509668479728E-2</v>
      </c>
      <c r="R51" s="7">
        <f ca="1"/>
        <v>-8.0775592991476991E-2</v>
      </c>
      <c r="S51" s="7">
        <f ca="1"/>
        <v>-2.7491219888194911E-2</v>
      </c>
      <c r="T51" s="7">
        <f ca="1"/>
        <v>-6.4699871322716568E-2</v>
      </c>
      <c r="U51" s="7">
        <f ca="1"/>
        <v>-4.3435599514371351E-3</v>
      </c>
      <c r="V51" s="7">
        <f ca="1"/>
        <v>-6.7512463346103974E-2</v>
      </c>
      <c r="W51" s="7">
        <f ca="1"/>
        <v>-5.6015315183868417E-2</v>
      </c>
      <c r="Z51" cm="1">
        <f t="array" aca="1" ref="Z51:AK62" ca="1">GMVAMAT</f>
        <v>7.8164281368157795E-3</v>
      </c>
      <c r="AA51">
        <f ca="1"/>
        <v>5.5900211486607718E-3</v>
      </c>
      <c r="AB51">
        <f ca="1"/>
        <v>8.3951132797441663E-3</v>
      </c>
      <c r="AC51">
        <f ca="1"/>
        <v>6.944181550529175E-3</v>
      </c>
      <c r="AD51">
        <f ca="1"/>
        <v>7.1414621844978331E-3</v>
      </c>
      <c r="AE51">
        <f ca="1"/>
        <v>5.7582253046893688E-3</v>
      </c>
      <c r="AF51">
        <f ca="1"/>
        <v>3.8320149763212651E-3</v>
      </c>
      <c r="AG51">
        <f ca="1"/>
        <v>5.709446157103417E-3</v>
      </c>
      <c r="AH51">
        <f ca="1"/>
        <v>3.8225313356706919E-3</v>
      </c>
      <c r="AI51">
        <f ca="1"/>
        <v>4.2160594592533553E-3</v>
      </c>
      <c r="AJ51">
        <f ca="1"/>
        <v>6.8215148504391296E-3</v>
      </c>
      <c r="AK51">
        <f ca="1"/>
        <v>1</v>
      </c>
      <c r="AL51" cm="1">
        <f t="array" aca="1" ref="AL51:AL61" ca="1">MUVEC</f>
        <v>1.0105744587180446E-2</v>
      </c>
      <c r="AP51" s="5" cm="1">
        <f t="array" ref="AP51:AP61">ZEROVEC</f>
        <v>0</v>
      </c>
      <c r="AQ51" s="5" cm="1">
        <f t="array" ref="AQ51:AQ61">ZEROVEC</f>
        <v>0</v>
      </c>
      <c r="BB51" s="26">
        <v>1.3250000000000024</v>
      </c>
      <c r="BC51" s="13">
        <f t="shared" si="3"/>
        <v>-0.3250000000000024</v>
      </c>
      <c r="BD51" s="12" cm="1">
        <f t="array" aca="1" ref="BD51" ca="1">BB51^2*$BB$16+BC51^2*$BE$16+2*BB51*BC51*MMULT(MMULT(TRANSPOSE(GMVPORT),COVMAT),ORP)</f>
        <v>1.7094839701458733E-3</v>
      </c>
      <c r="BE51" s="12">
        <f t="shared" ca="1" si="4"/>
        <v>4.1345906328751257E-2</v>
      </c>
      <c r="BF51" s="26">
        <f t="shared" ca="1" si="5"/>
        <v>9.6388677369885385E-4</v>
      </c>
    </row>
    <row r="52" spans="1:58" x14ac:dyDescent="0.2">
      <c r="A52" s="17">
        <v>44805</v>
      </c>
      <c r="B52" s="18">
        <v>-9.8130332787438657E-2</v>
      </c>
      <c r="C52" s="18">
        <v>-0.1193453939299173</v>
      </c>
      <c r="D52" s="18">
        <v>-0.1053416869923568</v>
      </c>
      <c r="E52" s="18">
        <v>-8.1391802561336379E-2</v>
      </c>
      <c r="F52" s="18">
        <v>-0.108576497771066</v>
      </c>
      <c r="G52" s="18">
        <v>-0.1218394974773247</v>
      </c>
      <c r="H52" s="18">
        <v>-8.7265814560123278E-2</v>
      </c>
      <c r="I52" s="18">
        <v>-0.13954587454238249</v>
      </c>
      <c r="J52" s="18">
        <v>-0.1187785635144175</v>
      </c>
      <c r="K52" s="18">
        <v>-2.9256184821035761E-2</v>
      </c>
      <c r="L52" s="18">
        <v>-8.3981594468171661E-2</v>
      </c>
      <c r="M52" s="7">
        <f ca="1"/>
        <v>-0.1082360773746191</v>
      </c>
      <c r="N52" s="7">
        <f ca="1"/>
        <v>-0.13027850168573782</v>
      </c>
      <c r="O52" s="7">
        <f ca="1"/>
        <v>-0.11627751155675126</v>
      </c>
      <c r="P52" s="7">
        <f ca="1"/>
        <v>-9.1736127345941304E-2</v>
      </c>
      <c r="Q52" s="7">
        <f ca="1"/>
        <v>-0.11966064070771093</v>
      </c>
      <c r="R52" s="7">
        <f ca="1"/>
        <v>-0.14048784531178363</v>
      </c>
      <c r="S52" s="7">
        <f ca="1"/>
        <v>-9.6231058464128827E-2</v>
      </c>
      <c r="T52" s="7">
        <f ca="1"/>
        <v>-0.14808875102395661</v>
      </c>
      <c r="U52" s="7">
        <f ca="1"/>
        <v>-0.12839593292507215</v>
      </c>
      <c r="V52" s="7">
        <f ca="1"/>
        <v>-3.9064781685307727E-2</v>
      </c>
      <c r="W52" s="7">
        <f ca="1"/>
        <v>-9.5042033526428538E-2</v>
      </c>
      <c r="Z52">
        <f ca="1"/>
        <v>5.5900211486607718E-3</v>
      </c>
      <c r="AA52">
        <f ca="1"/>
        <v>6.9693846194106533E-3</v>
      </c>
      <c r="AB52">
        <f ca="1"/>
        <v>6.4123709615656827E-3</v>
      </c>
      <c r="AC52">
        <f ca="1"/>
        <v>5.8971628176423228E-3</v>
      </c>
      <c r="AD52">
        <f ca="1"/>
        <v>5.7248975958282275E-3</v>
      </c>
      <c r="AE52">
        <f ca="1"/>
        <v>6.4573536438774946E-3</v>
      </c>
      <c r="AF52">
        <f ca="1"/>
        <v>2.9191157563219533E-3</v>
      </c>
      <c r="AG52">
        <f ca="1"/>
        <v>4.9379556196578753E-3</v>
      </c>
      <c r="AH52">
        <f ca="1"/>
        <v>2.81894545301871E-3</v>
      </c>
      <c r="AI52">
        <f ca="1"/>
        <v>3.3095883752832463E-3</v>
      </c>
      <c r="AJ52">
        <f ca="1"/>
        <v>6.5280687896181223E-3</v>
      </c>
      <c r="AK52">
        <f ca="1"/>
        <v>1</v>
      </c>
      <c r="AL52">
        <f ca="1"/>
        <v>1.0933107755820523E-2</v>
      </c>
      <c r="AP52" s="5">
        <v>0</v>
      </c>
      <c r="AQ52" s="5">
        <v>0</v>
      </c>
      <c r="BB52" s="26">
        <v>1.3000000000000025</v>
      </c>
      <c r="BC52" s="13">
        <f t="shared" si="3"/>
        <v>-0.30000000000000249</v>
      </c>
      <c r="BD52" s="12" cm="1">
        <f t="array" aca="1" ref="BD52" ca="1">BB52^2*$BB$16+BC52^2*$BE$16+2*BB52*BC52*MMULT(MMULT(TRANSPOSE(GMVPORT),COVMAT),ORP)</f>
        <v>1.6354668533556894E-3</v>
      </c>
      <c r="BE52" s="12">
        <f t="shared" ca="1" si="4"/>
        <v>4.0440905694057956E-2</v>
      </c>
      <c r="BF52" s="26">
        <f t="shared" ca="1" si="5"/>
        <v>1.5144393985400476E-3</v>
      </c>
    </row>
    <row r="53" spans="1:58" x14ac:dyDescent="0.2">
      <c r="A53" s="17">
        <v>44835</v>
      </c>
      <c r="B53" s="18">
        <v>9.5412506775330419E-2</v>
      </c>
      <c r="C53" s="18">
        <v>8.8101998969207784E-3</v>
      </c>
      <c r="D53" s="18">
        <v>0.26327789654872441</v>
      </c>
      <c r="E53" s="18">
        <v>0.1251232808631815</v>
      </c>
      <c r="F53" s="18">
        <v>0.14439448359322141</v>
      </c>
      <c r="G53" s="18">
        <v>7.9186092594820012E-2</v>
      </c>
      <c r="H53" s="18">
        <v>9.7155345085419009E-2</v>
      </c>
      <c r="I53" s="18">
        <v>2.9279473012609358E-2</v>
      </c>
      <c r="J53" s="18">
        <v>2.6290762512672261E-2</v>
      </c>
      <c r="K53" s="18">
        <v>0.1004800341636229</v>
      </c>
      <c r="L53" s="18">
        <v>1.32084387945921E-2</v>
      </c>
      <c r="M53" s="7">
        <f ca="1"/>
        <v>8.5306762188149976E-2</v>
      </c>
      <c r="N53" s="7">
        <f ca="1"/>
        <v>-2.122907858899745E-3</v>
      </c>
      <c r="O53" s="7">
        <f ca="1"/>
        <v>0.25234207198432995</v>
      </c>
      <c r="P53" s="7">
        <f ca="1"/>
        <v>0.11477895607857658</v>
      </c>
      <c r="Q53" s="7">
        <f ca="1"/>
        <v>0.13331034065657646</v>
      </c>
      <c r="R53" s="7">
        <f ca="1"/>
        <v>6.0537744760361084E-2</v>
      </c>
      <c r="S53" s="7">
        <f ca="1"/>
        <v>8.8190101181413461E-2</v>
      </c>
      <c r="T53" s="7">
        <f ca="1"/>
        <v>2.0736596531035236E-2</v>
      </c>
      <c r="U53" s="7">
        <f ca="1"/>
        <v>1.6673393102017611E-2</v>
      </c>
      <c r="V53" s="7">
        <f ca="1"/>
        <v>9.067143729935094E-2</v>
      </c>
      <c r="W53" s="7">
        <f ca="1"/>
        <v>2.1479997363352266E-3</v>
      </c>
      <c r="Z53">
        <f ca="1"/>
        <v>8.3951132797441663E-3</v>
      </c>
      <c r="AA53">
        <f ca="1"/>
        <v>6.4123709615656827E-3</v>
      </c>
      <c r="AB53">
        <f ca="1"/>
        <v>2.1436551188039357E-2</v>
      </c>
      <c r="AC53">
        <f ca="1"/>
        <v>1.0136473728690303E-2</v>
      </c>
      <c r="AD53">
        <f ca="1"/>
        <v>8.8438804125057034E-3</v>
      </c>
      <c r="AE53">
        <f ca="1"/>
        <v>5.9313836155569987E-3</v>
      </c>
      <c r="AF53">
        <f ca="1"/>
        <v>4.0959397083966207E-3</v>
      </c>
      <c r="AG53">
        <f ca="1"/>
        <v>5.1970916749576653E-3</v>
      </c>
      <c r="AH53">
        <f ca="1"/>
        <v>3.0573136428738864E-3</v>
      </c>
      <c r="AI53">
        <f ca="1"/>
        <v>4.6683209692262567E-3</v>
      </c>
      <c r="AJ53">
        <f ca="1"/>
        <v>7.0368987580444837E-3</v>
      </c>
      <c r="AK53">
        <f ca="1"/>
        <v>1</v>
      </c>
      <c r="AL53">
        <f ca="1"/>
        <v>1.0935824564394465E-2</v>
      </c>
      <c r="AP53" s="5">
        <v>0</v>
      </c>
      <c r="AQ53" s="5">
        <v>0</v>
      </c>
      <c r="BB53" s="26">
        <v>1.2750000000000026</v>
      </c>
      <c r="BC53" s="13">
        <f t="shared" si="3"/>
        <v>-0.27500000000000258</v>
      </c>
      <c r="BD53" s="12" cm="1">
        <f t="array" aca="1" ref="BD53" ca="1">BB53^2*$BB$16+BC53^2*$BE$16+2*BB53*BC53*MMULT(MMULT(TRANSPOSE(GMVPORT),COVMAT),ORP)</f>
        <v>1.5673711059087203E-3</v>
      </c>
      <c r="BE53" s="12">
        <f t="shared" ca="1" si="4"/>
        <v>3.9590037962961344E-2</v>
      </c>
      <c r="BF53" s="26">
        <f t="shared" ca="1" si="5"/>
        <v>2.0649920233812413E-3</v>
      </c>
    </row>
    <row r="54" spans="1:58" x14ac:dyDescent="0.2">
      <c r="A54" s="17">
        <v>44866</v>
      </c>
      <c r="B54" s="18">
        <v>0.1170354636999931</v>
      </c>
      <c r="C54" s="18">
        <v>6.845052667510565E-2</v>
      </c>
      <c r="D54" s="18">
        <v>1.2777905945180469E-2</v>
      </c>
      <c r="E54" s="18">
        <v>6.8569983564207071E-2</v>
      </c>
      <c r="F54" s="18">
        <v>7.8113515782076259E-2</v>
      </c>
      <c r="G54" s="18">
        <v>6.3267342777185043E-2</v>
      </c>
      <c r="H54" s="18">
        <v>6.1176785086363372E-2</v>
      </c>
      <c r="I54" s="18">
        <v>6.8336758246031692E-2</v>
      </c>
      <c r="J54" s="18">
        <v>6.9631724829715136E-2</v>
      </c>
      <c r="K54" s="18">
        <v>4.7231706000116391E-2</v>
      </c>
      <c r="L54" s="18">
        <v>1.485807075961953E-2</v>
      </c>
      <c r="M54" s="7">
        <f ca="1"/>
        <v>0.10692971911281265</v>
      </c>
      <c r="N54" s="7">
        <f ca="1"/>
        <v>5.7517418919285128E-2</v>
      </c>
      <c r="O54" s="7">
        <f ca="1"/>
        <v>1.842081380786004E-3</v>
      </c>
      <c r="P54" s="7">
        <f ca="1"/>
        <v>5.8225658779602146E-2</v>
      </c>
      <c r="Q54" s="7">
        <f ca="1"/>
        <v>6.7029372845431326E-2</v>
      </c>
      <c r="R54" s="7">
        <f ca="1"/>
        <v>4.4618994942726115E-2</v>
      </c>
      <c r="S54" s="7">
        <f ca="1"/>
        <v>5.221154118235783E-2</v>
      </c>
      <c r="T54" s="7">
        <f ca="1"/>
        <v>5.9793881764457574E-2</v>
      </c>
      <c r="U54" s="7">
        <f ca="1"/>
        <v>6.0014355419060486E-2</v>
      </c>
      <c r="V54" s="7">
        <f ca="1"/>
        <v>3.7423109135844429E-2</v>
      </c>
      <c r="W54" s="7">
        <f ca="1"/>
        <v>3.7976317013626564E-3</v>
      </c>
      <c r="Z54">
        <f ca="1"/>
        <v>6.944181550529175E-3</v>
      </c>
      <c r="AA54">
        <f ca="1"/>
        <v>5.8971628176423228E-3</v>
      </c>
      <c r="AB54">
        <f ca="1"/>
        <v>1.0136473728690303E-2</v>
      </c>
      <c r="AC54">
        <f ca="1"/>
        <v>8.4950889790427857E-3</v>
      </c>
      <c r="AD54">
        <f ca="1"/>
        <v>7.3302015534411798E-3</v>
      </c>
      <c r="AE54">
        <f ca="1"/>
        <v>5.5395012307162851E-3</v>
      </c>
      <c r="AF54">
        <f ca="1"/>
        <v>3.6339394593869964E-3</v>
      </c>
      <c r="AG54">
        <f ca="1"/>
        <v>5.4408878023456059E-3</v>
      </c>
      <c r="AH54">
        <f ca="1"/>
        <v>3.2492482672746288E-3</v>
      </c>
      <c r="AI54">
        <f ca="1"/>
        <v>3.9187539343382323E-3</v>
      </c>
      <c r="AJ54">
        <f ca="1"/>
        <v>6.3166181841639302E-3</v>
      </c>
      <c r="AK54">
        <f ca="1"/>
        <v>1</v>
      </c>
      <c r="AL54">
        <f ca="1"/>
        <v>1.0344324784604928E-2</v>
      </c>
      <c r="AP54" s="5">
        <v>0</v>
      </c>
      <c r="AQ54" s="5">
        <v>0</v>
      </c>
      <c r="BB54" s="26">
        <v>1.2500000000000027</v>
      </c>
      <c r="BC54" s="13">
        <f t="shared" si="3"/>
        <v>-0.25000000000000266</v>
      </c>
      <c r="BD54" s="12" cm="1">
        <f t="array" aca="1" ref="BD54" ca="1">BB54^2*$BB$16+BC54^2*$BE$16+2*BB54*BC54*MMULT(MMULT(TRANSPOSE(GMVPORT),COVMAT),ORP)</f>
        <v>1.5051967278049659E-3</v>
      </c>
      <c r="BE54" s="12">
        <f t="shared" ca="1" si="4"/>
        <v>3.8796864922374406E-2</v>
      </c>
      <c r="BF54" s="26">
        <f t="shared" ca="1" si="5"/>
        <v>2.6155446482224341E-3</v>
      </c>
    </row>
    <row r="55" spans="1:58" x14ac:dyDescent="0.2">
      <c r="A55" s="17">
        <v>44896</v>
      </c>
      <c r="B55" s="18">
        <v>-6.1268864323726469E-2</v>
      </c>
      <c r="C55" s="18">
        <v>-6.8336218089042888E-2</v>
      </c>
      <c r="D55" s="18">
        <v>-4.0373105973845358E-2</v>
      </c>
      <c r="E55" s="18">
        <v>-5.8110787358790827E-2</v>
      </c>
      <c r="F55" s="18">
        <v>-3.4506491140671169E-2</v>
      </c>
      <c r="G55" s="18">
        <v>-8.4730798493753867E-2</v>
      </c>
      <c r="H55" s="18">
        <v>-3.420136003408325E-2</v>
      </c>
      <c r="I55" s="18">
        <v>-5.886862385037861E-2</v>
      </c>
      <c r="J55" s="18">
        <v>-1.301971129452895E-2</v>
      </c>
      <c r="K55" s="18">
        <v>-2.28024235677321E-2</v>
      </c>
      <c r="L55" s="18">
        <v>-0.11637142286681119</v>
      </c>
      <c r="M55" s="7">
        <f ca="1"/>
        <v>-7.1374608910906912E-2</v>
      </c>
      <c r="N55" s="7">
        <f ca="1"/>
        <v>-7.9269325844863417E-2</v>
      </c>
      <c r="O55" s="7">
        <f ca="1"/>
        <v>-5.1308930538239823E-2</v>
      </c>
      <c r="P55" s="7">
        <f ca="1"/>
        <v>-6.8455112143395752E-2</v>
      </c>
      <c r="Q55" s="7">
        <f ca="1"/>
        <v>-4.559063407731611E-2</v>
      </c>
      <c r="R55" s="7">
        <f ca="1"/>
        <v>-0.1033791463282128</v>
      </c>
      <c r="S55" s="7">
        <f ca="1"/>
        <v>-4.3166603938088792E-2</v>
      </c>
      <c r="T55" s="7">
        <f ca="1"/>
        <v>-6.7411500331952728E-2</v>
      </c>
      <c r="U55" s="7">
        <f ca="1"/>
        <v>-2.2637080705183603E-2</v>
      </c>
      <c r="V55" s="7">
        <f ca="1"/>
        <v>-3.2611020432004062E-2</v>
      </c>
      <c r="W55" s="7">
        <f ca="1"/>
        <v>-0.12743186192506806</v>
      </c>
      <c r="Z55">
        <f ca="1"/>
        <v>7.1414621844978331E-3</v>
      </c>
      <c r="AA55">
        <f ca="1"/>
        <v>5.7248975958282275E-3</v>
      </c>
      <c r="AB55">
        <f ca="1"/>
        <v>8.8438804125057034E-3</v>
      </c>
      <c r="AC55">
        <f ca="1"/>
        <v>7.3302015534411798E-3</v>
      </c>
      <c r="AD55">
        <f ca="1"/>
        <v>7.8894279543011026E-3</v>
      </c>
      <c r="AE55">
        <f ca="1"/>
        <v>6.1187848709212418E-3</v>
      </c>
      <c r="AF55">
        <f ca="1"/>
        <v>3.9162149364731433E-3</v>
      </c>
      <c r="AG55">
        <f ca="1"/>
        <v>5.5480301114709642E-3</v>
      </c>
      <c r="AH55">
        <f ca="1"/>
        <v>3.5516089701292902E-3</v>
      </c>
      <c r="AI55">
        <f ca="1"/>
        <v>4.2016286846053982E-3</v>
      </c>
      <c r="AJ55">
        <f ca="1"/>
        <v>6.8414872358783015E-3</v>
      </c>
      <c r="AK55">
        <f ca="1"/>
        <v>1</v>
      </c>
      <c r="AL55">
        <f ca="1"/>
        <v>1.1084142936644939E-2</v>
      </c>
      <c r="AP55" s="5">
        <v>0</v>
      </c>
      <c r="AQ55" s="5">
        <v>0</v>
      </c>
      <c r="BB55" s="26">
        <v>1.2250000000000028</v>
      </c>
      <c r="BC55" s="13">
        <f t="shared" si="3"/>
        <v>-0.22500000000000275</v>
      </c>
      <c r="BD55" s="12" cm="1">
        <f t="array" aca="1" ref="BD55" ca="1">BB55^2*$BB$16+BC55^2*$BE$16+2*BB55*BC55*MMULT(MMULT(TRANSPOSE(GMVPORT),COVMAT),ORP)</f>
        <v>1.4489437190444258E-3</v>
      </c>
      <c r="BE55" s="12">
        <f t="shared" ca="1" si="4"/>
        <v>3.8064993354057296E-2</v>
      </c>
      <c r="BF55" s="26">
        <f t="shared" ca="1" si="5"/>
        <v>3.1660972730636295E-3</v>
      </c>
    </row>
    <row r="56" spans="1:58" x14ac:dyDescent="0.2">
      <c r="A56" s="17">
        <v>44927</v>
      </c>
      <c r="B56" s="18">
        <v>9.6786582277782029E-2</v>
      </c>
      <c r="C56" s="18">
        <v>0.15056469496074351</v>
      </c>
      <c r="D56" s="18">
        <v>3.8713143705442647E-2</v>
      </c>
      <c r="E56" s="18">
        <v>7.5709051183649123E-2</v>
      </c>
      <c r="F56" s="18">
        <v>4.2013159716590032E-2</v>
      </c>
      <c r="G56" s="18">
        <v>9.5711792646591132E-2</v>
      </c>
      <c r="H56" s="18">
        <v>-3.7723631163463218E-3</v>
      </c>
      <c r="I56" s="18">
        <v>0.11158582009742329</v>
      </c>
      <c r="J56" s="18">
        <v>-1.198161243521023E-2</v>
      </c>
      <c r="K56" s="18">
        <v>-1.428546248068641E-2</v>
      </c>
      <c r="L56" s="18">
        <v>0.1544404146800524</v>
      </c>
      <c r="M56" s="7">
        <f ca="1"/>
        <v>8.6680837690601586E-2</v>
      </c>
      <c r="N56" s="7">
        <f ca="1"/>
        <v>0.139631587204923</v>
      </c>
      <c r="O56" s="7">
        <f ca="1"/>
        <v>2.7777319141048182E-2</v>
      </c>
      <c r="P56" s="7">
        <f ca="1"/>
        <v>6.5364726399044198E-2</v>
      </c>
      <c r="Q56" s="7">
        <f ca="1"/>
        <v>3.0929016779945091E-2</v>
      </c>
      <c r="R56" s="7">
        <f ca="1"/>
        <v>7.7063444812132204E-2</v>
      </c>
      <c r="S56" s="7">
        <f ca="1"/>
        <v>-1.2737607020351866E-2</v>
      </c>
      <c r="T56" s="7">
        <f ca="1"/>
        <v>0.10304294361584918</v>
      </c>
      <c r="U56" s="7">
        <f ca="1"/>
        <v>-2.1598981845864881E-2</v>
      </c>
      <c r="V56" s="7">
        <f ca="1"/>
        <v>-2.4094059344958375E-2</v>
      </c>
      <c r="W56" s="7">
        <f ca="1"/>
        <v>0.14337997562179552</v>
      </c>
      <c r="Z56">
        <f ca="1"/>
        <v>5.7582253046893688E-3</v>
      </c>
      <c r="AA56">
        <f ca="1"/>
        <v>6.4573536438774946E-3</v>
      </c>
      <c r="AB56">
        <f ca="1"/>
        <v>5.9313836155569987E-3</v>
      </c>
      <c r="AC56">
        <f ca="1"/>
        <v>5.5395012307162851E-3</v>
      </c>
      <c r="AD56">
        <f ca="1"/>
        <v>6.1187848709212418E-3</v>
      </c>
      <c r="AE56">
        <f ca="1"/>
        <v>8.1913579016570249E-3</v>
      </c>
      <c r="AF56">
        <f ca="1"/>
        <v>3.1790880327162712E-3</v>
      </c>
      <c r="AG56">
        <f ca="1"/>
        <v>5.1263637342649337E-3</v>
      </c>
      <c r="AH56">
        <f ca="1"/>
        <v>2.6724048510911123E-3</v>
      </c>
      <c r="AI56">
        <f ca="1"/>
        <v>3.7538732086018645E-3</v>
      </c>
      <c r="AJ56">
        <f ca="1"/>
        <v>7.5999624899786575E-3</v>
      </c>
      <c r="AK56">
        <f ca="1"/>
        <v>1</v>
      </c>
      <c r="AL56">
        <f ca="1"/>
        <v>1.8648347834458925E-2</v>
      </c>
      <c r="AP56" s="5">
        <v>0</v>
      </c>
      <c r="AQ56" s="5">
        <v>0</v>
      </c>
      <c r="BB56" s="26">
        <v>1.2000000000000028</v>
      </c>
      <c r="BC56" s="13">
        <f t="shared" si="3"/>
        <v>-0.20000000000000284</v>
      </c>
      <c r="BD56" s="12" cm="1">
        <f t="array" aca="1" ref="BD56" ca="1">BB56^2*$BB$16+BC56^2*$BE$16+2*BB56*BC56*MMULT(MMULT(TRANSPOSE(GMVPORT),COVMAT),ORP)</f>
        <v>1.3986120796271005E-3</v>
      </c>
      <c r="BE56" s="12">
        <f t="shared" ca="1" si="4"/>
        <v>3.7398022402623118E-2</v>
      </c>
      <c r="BF56" s="26">
        <f t="shared" ca="1" si="5"/>
        <v>3.7166498979048224E-3</v>
      </c>
    </row>
    <row r="57" spans="1:58" x14ac:dyDescent="0.2">
      <c r="A57" s="17">
        <v>44958</v>
      </c>
      <c r="B57" s="18">
        <v>-3.3313569253057618E-2</v>
      </c>
      <c r="C57" s="18">
        <v>-2.8685513072910899E-2</v>
      </c>
      <c r="D57" s="18">
        <v>-6.93874615903598E-2</v>
      </c>
      <c r="E57" s="18">
        <v>-2.29759698626163E-2</v>
      </c>
      <c r="F57" s="18">
        <v>-8.6400861999279543E-3</v>
      </c>
      <c r="G57" s="18">
        <v>4.1192002021877014E-3</v>
      </c>
      <c r="H57" s="18">
        <v>-2.318934311491061E-2</v>
      </c>
      <c r="I57" s="18">
        <v>-5.8635144995916821E-2</v>
      </c>
      <c r="J57" s="18">
        <v>-5.9198171452591757E-2</v>
      </c>
      <c r="K57" s="18">
        <v>-4.6415569308334237E-2</v>
      </c>
      <c r="L57" s="18">
        <v>-2.1250722652486179E-2</v>
      </c>
      <c r="M57" s="7">
        <f ca="1"/>
        <v>-4.3419313840238061E-2</v>
      </c>
      <c r="N57" s="7">
        <f ca="1"/>
        <v>-3.9618620828731424E-2</v>
      </c>
      <c r="O57" s="7">
        <f ca="1"/>
        <v>-8.0323286154754259E-2</v>
      </c>
      <c r="P57" s="7">
        <f ca="1"/>
        <v>-3.3320294647221228E-2</v>
      </c>
      <c r="Q57" s="7">
        <f ca="1"/>
        <v>-1.9724229136572895E-2</v>
      </c>
      <c r="R57" s="7">
        <f ca="1"/>
        <v>-1.4529147632271224E-2</v>
      </c>
      <c r="S57" s="7">
        <f ca="1"/>
        <v>-3.2154587018916152E-2</v>
      </c>
      <c r="T57" s="7">
        <f ca="1"/>
        <v>-6.717802147749094E-2</v>
      </c>
      <c r="U57" s="7">
        <f ca="1"/>
        <v>-6.8815540863246413E-2</v>
      </c>
      <c r="V57" s="7">
        <f ca="1"/>
        <v>-5.6224166172606199E-2</v>
      </c>
      <c r="W57" s="7">
        <f ca="1"/>
        <v>-3.2311161710743053E-2</v>
      </c>
      <c r="Z57">
        <f ca="1"/>
        <v>3.8320149763212651E-3</v>
      </c>
      <c r="AA57">
        <f ca="1"/>
        <v>2.9191157563219533E-3</v>
      </c>
      <c r="AB57">
        <f ca="1"/>
        <v>4.0959397083966207E-3</v>
      </c>
      <c r="AC57">
        <f ca="1"/>
        <v>3.6339394593869964E-3</v>
      </c>
      <c r="AD57">
        <f ca="1"/>
        <v>3.9162149364731433E-3</v>
      </c>
      <c r="AE57">
        <f ca="1"/>
        <v>3.1790880327162712E-3</v>
      </c>
      <c r="AF57">
        <f ca="1"/>
        <v>3.3151283222533894E-3</v>
      </c>
      <c r="AG57">
        <f ca="1"/>
        <v>3.485881758636285E-3</v>
      </c>
      <c r="AH57">
        <f ca="1"/>
        <v>2.8750273044065322E-3</v>
      </c>
      <c r="AI57">
        <f ca="1"/>
        <v>2.7025265750564207E-3</v>
      </c>
      <c r="AJ57">
        <f ca="1"/>
        <v>3.156052989110536E-3</v>
      </c>
      <c r="AK57">
        <f ca="1"/>
        <v>1</v>
      </c>
      <c r="AL57">
        <f ca="1"/>
        <v>8.9652439040055435E-3</v>
      </c>
      <c r="AP57" s="5">
        <v>0</v>
      </c>
      <c r="AQ57" s="5">
        <v>0</v>
      </c>
      <c r="BB57" s="26">
        <v>1.1750000000000029</v>
      </c>
      <c r="BC57" s="13">
        <f t="shared" si="3"/>
        <v>-0.17500000000000293</v>
      </c>
      <c r="BD57" s="12" cm="1">
        <f t="array" aca="1" ref="BD57" ca="1">BB57^2*$BB$16+BC57^2*$BE$16+2*BB57*BC57*MMULT(MMULT(TRANSPOSE(GMVPORT),COVMAT),ORP)</f>
        <v>1.3542018095529899E-3</v>
      </c>
      <c r="BE57" s="12">
        <f t="shared" ca="1" si="4"/>
        <v>3.6799481104398603E-2</v>
      </c>
      <c r="BF57" s="26">
        <f t="shared" ca="1" si="5"/>
        <v>4.2672025227460161E-3</v>
      </c>
    </row>
    <row r="58" spans="1:58" x14ac:dyDescent="0.2">
      <c r="A58" s="17">
        <v>44986</v>
      </c>
      <c r="B58" s="18">
        <v>-1.4297933175307481E-2</v>
      </c>
      <c r="C58" s="18">
        <v>8.3551369746696524E-2</v>
      </c>
      <c r="D58" s="18">
        <v>-1.027592715354275E-2</v>
      </c>
      <c r="E58" s="18">
        <v>-9.9943911373806982E-2</v>
      </c>
      <c r="F58" s="18">
        <v>2.0798923112321792E-3</v>
      </c>
      <c r="G58" s="18">
        <v>0.10613798394618359</v>
      </c>
      <c r="H58" s="18">
        <v>3.7206684089768682E-2</v>
      </c>
      <c r="I58" s="18">
        <v>-2.172206525314713E-2</v>
      </c>
      <c r="J58" s="18">
        <v>4.1384829937329837E-2</v>
      </c>
      <c r="K58" s="18">
        <v>1.800753603860494E-2</v>
      </c>
      <c r="L58" s="18">
        <v>2.7483806479366549E-2</v>
      </c>
      <c r="M58" s="7">
        <f ca="1"/>
        <v>-2.4403677762487926E-2</v>
      </c>
      <c r="N58" s="7">
        <f ca="1"/>
        <v>7.2618261990875996E-2</v>
      </c>
      <c r="O58" s="7">
        <f ca="1"/>
        <v>-2.1211751717937218E-2</v>
      </c>
      <c r="P58" s="7">
        <f ca="1"/>
        <v>-0.11028823615841191</v>
      </c>
      <c r="Q58" s="7">
        <f ca="1"/>
        <v>-9.0042506254127599E-3</v>
      </c>
      <c r="R58" s="7">
        <f ca="1"/>
        <v>8.7489636111724667E-2</v>
      </c>
      <c r="S58" s="7">
        <f ca="1"/>
        <v>2.8241440185763141E-2</v>
      </c>
      <c r="T58" s="7">
        <f ca="1"/>
        <v>-3.0264941734721253E-2</v>
      </c>
      <c r="U58" s="7">
        <f ca="1"/>
        <v>3.1767460526675187E-2</v>
      </c>
      <c r="V58" s="7">
        <f ca="1"/>
        <v>8.1989391743329757E-3</v>
      </c>
      <c r="W58" s="7">
        <f ca="1"/>
        <v>1.6423367421109676E-2</v>
      </c>
      <c r="Z58">
        <f ca="1"/>
        <v>5.709446157103417E-3</v>
      </c>
      <c r="AA58">
        <f ca="1"/>
        <v>4.9379556196578753E-3</v>
      </c>
      <c r="AB58">
        <f ca="1"/>
        <v>5.1970916749576653E-3</v>
      </c>
      <c r="AC58">
        <f ca="1"/>
        <v>5.4408878023456059E-3</v>
      </c>
      <c r="AD58">
        <f ca="1"/>
        <v>5.5480301114709642E-3</v>
      </c>
      <c r="AE58">
        <f ca="1"/>
        <v>5.1263637342649337E-3</v>
      </c>
      <c r="AF58">
        <f ca="1"/>
        <v>3.485881758636285E-3</v>
      </c>
      <c r="AG58">
        <f ca="1"/>
        <v>6.8061430177284322E-3</v>
      </c>
      <c r="AH58">
        <f ca="1"/>
        <v>4.070461585989082E-3</v>
      </c>
      <c r="AI58">
        <f ca="1"/>
        <v>3.6465943283933476E-3</v>
      </c>
      <c r="AJ58">
        <f ca="1"/>
        <v>6.1985615165923496E-3</v>
      </c>
      <c r="AK58">
        <f ca="1"/>
        <v>1</v>
      </c>
      <c r="AL58">
        <f ca="1"/>
        <v>8.5428764815741222E-3</v>
      </c>
      <c r="AP58" s="5">
        <v>0</v>
      </c>
      <c r="AQ58" s="5">
        <v>0</v>
      </c>
      <c r="BB58" s="26">
        <v>1.150000000000003</v>
      </c>
      <c r="BC58" s="13">
        <f t="shared" si="3"/>
        <v>-0.15000000000000302</v>
      </c>
      <c r="BD58" s="12" cm="1">
        <f t="array" aca="1" ref="BD58" ca="1">BB58^2*$BB$16+BC58^2*$BE$16+2*BB58*BC58*MMULT(MMULT(TRANSPOSE(GMVPORT),COVMAT),ORP)</f>
        <v>1.3157129088220941E-3</v>
      </c>
      <c r="BE58" s="12">
        <f t="shared" ca="1" si="4"/>
        <v>3.6272757116355164E-2</v>
      </c>
      <c r="BF58" s="26">
        <f t="shared" ca="1" si="5"/>
        <v>4.8177551475872089E-3</v>
      </c>
    </row>
    <row r="59" spans="1:58" x14ac:dyDescent="0.2">
      <c r="A59" s="17">
        <v>45017</v>
      </c>
      <c r="B59" s="18">
        <v>2.9796692728540912E-3</v>
      </c>
      <c r="C59" s="18">
        <v>3.611842546788413E-2</v>
      </c>
      <c r="D59" s="18">
        <v>3.8493986659850599E-2</v>
      </c>
      <c r="E59" s="18">
        <v>3.6846832894154247E-2</v>
      </c>
      <c r="F59" s="18">
        <v>-7.6074722262089436E-3</v>
      </c>
      <c r="G59" s="18">
        <v>1.013048428489149E-3</v>
      </c>
      <c r="H59" s="18">
        <v>4.1524223845508468E-2</v>
      </c>
      <c r="I59" s="18">
        <v>1.7084955575737752E-2</v>
      </c>
      <c r="J59" s="18">
        <v>2.6568423827654449E-2</v>
      </c>
      <c r="K59" s="18">
        <v>3.5461196605806933E-2</v>
      </c>
      <c r="L59" s="18">
        <v>-8.2170800704889357E-3</v>
      </c>
      <c r="M59" s="7">
        <f ca="1"/>
        <v>-7.1260753143263557E-3</v>
      </c>
      <c r="N59" s="7">
        <f ca="1"/>
        <v>2.5185317712063608E-2</v>
      </c>
      <c r="O59" s="7">
        <f ca="1"/>
        <v>2.7558162095456133E-2</v>
      </c>
      <c r="P59" s="7">
        <f ca="1"/>
        <v>2.6502508109549319E-2</v>
      </c>
      <c r="Q59" s="7">
        <f ca="1"/>
        <v>-1.8691615162853881E-2</v>
      </c>
      <c r="R59" s="7">
        <f ca="1"/>
        <v>-1.7635299405969775E-2</v>
      </c>
      <c r="S59" s="7">
        <f ca="1"/>
        <v>3.2558979941502926E-2</v>
      </c>
      <c r="T59" s="7">
        <f ca="1"/>
        <v>8.5420790941636293E-3</v>
      </c>
      <c r="U59" s="7">
        <f ca="1"/>
        <v>1.6951054416999796E-2</v>
      </c>
      <c r="V59" s="7">
        <f ca="1"/>
        <v>2.565259974153497E-2</v>
      </c>
      <c r="W59" s="7">
        <f ca="1"/>
        <v>-1.9277519128745809E-2</v>
      </c>
      <c r="Z59">
        <f ca="1"/>
        <v>3.8225313356706919E-3</v>
      </c>
      <c r="AA59">
        <f ca="1"/>
        <v>2.81894545301871E-3</v>
      </c>
      <c r="AB59">
        <f ca="1"/>
        <v>3.0573136428738864E-3</v>
      </c>
      <c r="AC59">
        <f ca="1"/>
        <v>3.2492482672746288E-3</v>
      </c>
      <c r="AD59">
        <f ca="1"/>
        <v>3.5516089701292902E-3</v>
      </c>
      <c r="AE59">
        <f ca="1"/>
        <v>2.6724048510911123E-3</v>
      </c>
      <c r="AF59">
        <f ca="1"/>
        <v>2.8750273044065322E-3</v>
      </c>
      <c r="AG59">
        <f ca="1"/>
        <v>4.070461585989082E-3</v>
      </c>
      <c r="AH59">
        <f ca="1"/>
        <v>4.9522945418370131E-3</v>
      </c>
      <c r="AI59">
        <f ca="1"/>
        <v>2.4292157591326411E-3</v>
      </c>
      <c r="AJ59">
        <f ca="1"/>
        <v>3.1088247842385591E-3</v>
      </c>
      <c r="AK59">
        <f ca="1"/>
        <v>1</v>
      </c>
      <c r="AL59">
        <f ca="1"/>
        <v>9.6173694106546515E-3</v>
      </c>
      <c r="AP59" s="5">
        <v>0</v>
      </c>
      <c r="AQ59" s="5">
        <v>0</v>
      </c>
      <c r="BB59" s="26">
        <v>1.1250000000000031</v>
      </c>
      <c r="BC59" s="13">
        <f t="shared" si="3"/>
        <v>-0.12500000000000311</v>
      </c>
      <c r="BD59" s="12" cm="1">
        <f t="array" aca="1" ref="BD59" ca="1">BB59^2*$BB$16+BC59^2*$BE$16+2*BB59*BC59*MMULT(MMULT(TRANSPOSE(GMVPORT),COVMAT),ORP)</f>
        <v>1.283145377434413E-3</v>
      </c>
      <c r="BE59" s="12">
        <f t="shared" ca="1" si="4"/>
        <v>3.5821018654337747E-2</v>
      </c>
      <c r="BF59" s="26">
        <f t="shared" ca="1" si="5"/>
        <v>5.3683077724284026E-3</v>
      </c>
    </row>
    <row r="60" spans="1:58" x14ac:dyDescent="0.2">
      <c r="A60" s="17">
        <v>45047</v>
      </c>
      <c r="B60" s="18">
        <v>-6.865304483646506E-2</v>
      </c>
      <c r="C60" s="18">
        <v>3.9065038755786263E-2</v>
      </c>
      <c r="D60" s="18">
        <v>-0.10031718013696959</v>
      </c>
      <c r="E60" s="18">
        <v>-4.250835546084708E-2</v>
      </c>
      <c r="F60" s="18">
        <v>-3.149997118476533E-2</v>
      </c>
      <c r="G60" s="18">
        <v>8.917318380062822E-2</v>
      </c>
      <c r="H60" s="18">
        <v>-6.159591081128768E-2</v>
      </c>
      <c r="I60" s="18">
        <v>-4.5297968976355962E-2</v>
      </c>
      <c r="J60" s="18">
        <v>-5.8712695315515817E-2</v>
      </c>
      <c r="K60" s="18">
        <v>-4.2687015992891597E-2</v>
      </c>
      <c r="L60" s="18">
        <v>2.53618008071268E-2</v>
      </c>
      <c r="M60" s="7">
        <f ca="1"/>
        <v>-7.8758789423645503E-2</v>
      </c>
      <c r="N60" s="7">
        <f ca="1"/>
        <v>2.8131930999965742E-2</v>
      </c>
      <c r="O60" s="7">
        <f ca="1"/>
        <v>-0.11125300470136407</v>
      </c>
      <c r="P60" s="7">
        <f ca="1"/>
        <v>-5.2852680245452005E-2</v>
      </c>
      <c r="Q60" s="7">
        <f ca="1"/>
        <v>-4.258411412141027E-2</v>
      </c>
      <c r="R60" s="7">
        <f ca="1"/>
        <v>7.0524835966169291E-2</v>
      </c>
      <c r="S60" s="7">
        <f ca="1"/>
        <v>-7.0561154715293228E-2</v>
      </c>
      <c r="T60" s="7">
        <f ca="1"/>
        <v>-5.3840845457930081E-2</v>
      </c>
      <c r="U60" s="7">
        <f ca="1"/>
        <v>-6.8330064726170467E-2</v>
      </c>
      <c r="V60" s="7">
        <f ca="1"/>
        <v>-5.2495612857163559E-2</v>
      </c>
      <c r="W60" s="7">
        <f ca="1"/>
        <v>1.4301361748869926E-2</v>
      </c>
      <c r="Z60">
        <f ca="1"/>
        <v>4.2160594592533553E-3</v>
      </c>
      <c r="AA60">
        <f ca="1"/>
        <v>3.3095883752832463E-3</v>
      </c>
      <c r="AB60">
        <f ca="1"/>
        <v>4.6683209692262567E-3</v>
      </c>
      <c r="AC60">
        <f ca="1"/>
        <v>3.9187539343382323E-3</v>
      </c>
      <c r="AD60">
        <f ca="1"/>
        <v>4.2016286846053982E-3</v>
      </c>
      <c r="AE60">
        <f ca="1"/>
        <v>3.7538732086018645E-3</v>
      </c>
      <c r="AF60">
        <f ca="1"/>
        <v>2.7025265750564207E-3</v>
      </c>
      <c r="AG60">
        <f ca="1"/>
        <v>3.6465943283933476E-3</v>
      </c>
      <c r="AH60">
        <f ca="1"/>
        <v>2.4292157591326411E-3</v>
      </c>
      <c r="AI60">
        <f ca="1"/>
        <v>3.9358899207996801E-3</v>
      </c>
      <c r="AJ60">
        <f ca="1"/>
        <v>3.9003418238303315E-3</v>
      </c>
      <c r="AK60">
        <f ca="1"/>
        <v>1</v>
      </c>
      <c r="AL60">
        <f ca="1"/>
        <v>9.808596864271964E-3</v>
      </c>
      <c r="AP60" s="5">
        <v>0</v>
      </c>
      <c r="AQ60" s="5">
        <v>0</v>
      </c>
      <c r="BB60" s="26">
        <v>1.1000000000000032</v>
      </c>
      <c r="BC60" s="13">
        <f t="shared" si="3"/>
        <v>-0.1000000000000032</v>
      </c>
      <c r="BD60" s="12" cm="1">
        <f t="array" aca="1" ref="BD60" ca="1">BB60^2*$BB$16+BC60^2*$BE$16+2*BB60*BC60*MMULT(MMULT(TRANSPOSE(GMVPORT),COVMAT),ORP)</f>
        <v>1.2564992153899464E-3</v>
      </c>
      <c r="BE60" s="12">
        <f t="shared" ca="1" si="4"/>
        <v>3.5447132682206423E-2</v>
      </c>
      <c r="BF60" s="26">
        <f t="shared" ca="1" si="5"/>
        <v>5.9188603972695954E-3</v>
      </c>
    </row>
    <row r="61" spans="1:58" x14ac:dyDescent="0.2">
      <c r="A61" s="17">
        <v>45078</v>
      </c>
      <c r="B61" s="18">
        <v>0.10463887308212259</v>
      </c>
      <c r="C61" s="18">
        <v>4.562967995281797E-2</v>
      </c>
      <c r="D61" s="18">
        <v>5.9798993869833561E-2</v>
      </c>
      <c r="E61" s="18">
        <v>6.1398017173818209E-2</v>
      </c>
      <c r="F61" s="18">
        <v>0.1081052729862559</v>
      </c>
      <c r="G61" s="18">
        <v>5.8315156576953742E-2</v>
      </c>
      <c r="H61" s="18">
        <v>2.06410740607752E-2</v>
      </c>
      <c r="I61" s="18">
        <v>4.5782424888000113E-2</v>
      </c>
      <c r="J61" s="18">
        <v>7.8546838167390387E-3</v>
      </c>
      <c r="K61" s="18">
        <v>3.8332048322126562E-2</v>
      </c>
      <c r="L61" s="18">
        <v>0.1200449510577177</v>
      </c>
      <c r="M61" s="7">
        <f ca="1"/>
        <v>9.4533128494942151E-2</v>
      </c>
      <c r="N61" s="7">
        <f ca="1"/>
        <v>3.4696572196997448E-2</v>
      </c>
      <c r="O61" s="7">
        <f ca="1"/>
        <v>4.8863169305439096E-2</v>
      </c>
      <c r="P61" s="7">
        <f ca="1"/>
        <v>5.1053692389213284E-2</v>
      </c>
      <c r="Q61" s="7">
        <f ca="1"/>
        <v>9.7021130049610965E-2</v>
      </c>
      <c r="R61" s="7">
        <f ca="1"/>
        <v>3.9666808742494813E-2</v>
      </c>
      <c r="S61" s="7">
        <f ca="1"/>
        <v>1.1675830156769656E-2</v>
      </c>
      <c r="T61" s="7">
        <f ca="1"/>
        <v>3.7239548406425987E-2</v>
      </c>
      <c r="U61" s="7">
        <f ca="1"/>
        <v>-1.7626855939156128E-3</v>
      </c>
      <c r="V61" s="7">
        <f ca="1"/>
        <v>2.85234514578546E-2</v>
      </c>
      <c r="W61" s="7">
        <f ca="1"/>
        <v>0.10898451199946083</v>
      </c>
      <c r="Z61">
        <f ca="1"/>
        <v>6.8215148504391296E-3</v>
      </c>
      <c r="AA61">
        <f ca="1"/>
        <v>6.5280687896181223E-3</v>
      </c>
      <c r="AB61">
        <f ca="1"/>
        <v>7.0368987580444837E-3</v>
      </c>
      <c r="AC61">
        <f ca="1"/>
        <v>6.3166181841639302E-3</v>
      </c>
      <c r="AD61">
        <f ca="1"/>
        <v>6.8414872358783015E-3</v>
      </c>
      <c r="AE61">
        <f ca="1"/>
        <v>7.5999624899786575E-3</v>
      </c>
      <c r="AF61">
        <f ca="1"/>
        <v>3.156052989110536E-3</v>
      </c>
      <c r="AG61">
        <f ca="1"/>
        <v>6.1985615165923496E-3</v>
      </c>
      <c r="AH61">
        <f ca="1"/>
        <v>3.1088247842385591E-3</v>
      </c>
      <c r="AI61">
        <f ca="1"/>
        <v>3.9003418238303315E-3</v>
      </c>
      <c r="AJ61">
        <f ca="1"/>
        <v>9.3415948076678197E-3</v>
      </c>
      <c r="AK61">
        <f ca="1"/>
        <v>1</v>
      </c>
      <c r="AL61">
        <f ca="1"/>
        <v>1.1060439058256873E-2</v>
      </c>
      <c r="AP61" s="5">
        <v>0</v>
      </c>
      <c r="AQ61" s="5">
        <v>0</v>
      </c>
      <c r="BB61" s="26">
        <v>1.0750000000000033</v>
      </c>
      <c r="BC61" s="13">
        <f t="shared" si="3"/>
        <v>-7.5000000000003286E-2</v>
      </c>
      <c r="BD61" s="12" cm="1">
        <f t="array" aca="1" ref="BD61" ca="1">BB61^2*$BB$16+BC61^2*$BE$16+2*BB61*BC61*MMULT(MMULT(TRANSPOSE(GMVPORT),COVMAT),ORP)</f>
        <v>1.2357744226886944E-3</v>
      </c>
      <c r="BE61" s="12">
        <f t="shared" ca="1" si="4"/>
        <v>3.515358335488282E-2</v>
      </c>
      <c r="BF61" s="26">
        <f t="shared" ca="1" si="5"/>
        <v>6.4694130221107891E-3</v>
      </c>
    </row>
    <row r="62" spans="1:58" x14ac:dyDescent="0.2">
      <c r="A62" s="17">
        <v>45108</v>
      </c>
      <c r="B62" s="18">
        <v>3.9464478243278922E-2</v>
      </c>
      <c r="C62" s="18">
        <v>5.872344000467411E-2</v>
      </c>
      <c r="D62" s="18">
        <v>8.7230759000422875E-2</v>
      </c>
      <c r="E62" s="18">
        <v>5.2759686755824653E-2</v>
      </c>
      <c r="F62" s="18">
        <v>3.2999966164851458E-2</v>
      </c>
      <c r="G62" s="18">
        <v>2.7974119843649389E-2</v>
      </c>
      <c r="H62" s="18">
        <v>2.85478940485091E-2</v>
      </c>
      <c r="I62" s="18">
        <v>2.3010312118396881E-2</v>
      </c>
      <c r="J62" s="18">
        <v>3.315208598838737E-2</v>
      </c>
      <c r="K62" s="18">
        <v>1.4858876700570621E-2</v>
      </c>
      <c r="L62" s="18">
        <v>2.5201600710780259E-2</v>
      </c>
      <c r="M62" s="7">
        <f ca="1"/>
        <v>2.9358733656098476E-2</v>
      </c>
      <c r="N62" s="7">
        <f ca="1"/>
        <v>4.7790332248853588E-2</v>
      </c>
      <c r="O62" s="7">
        <f ca="1"/>
        <v>7.6294934436028417E-2</v>
      </c>
      <c r="P62" s="7">
        <f ca="1"/>
        <v>4.2415361971219728E-2</v>
      </c>
      <c r="Q62" s="7">
        <f ca="1"/>
        <v>2.1915823228206517E-2</v>
      </c>
      <c r="R62" s="7">
        <f ca="1"/>
        <v>9.3257720091904639E-3</v>
      </c>
      <c r="S62" s="7">
        <f ca="1"/>
        <v>1.9582650144503555E-2</v>
      </c>
      <c r="T62" s="7">
        <f ca="1"/>
        <v>1.4467435636822758E-2</v>
      </c>
      <c r="U62" s="7">
        <f ca="1"/>
        <v>2.353471657773272E-2</v>
      </c>
      <c r="V62" s="7">
        <f ca="1"/>
        <v>5.0502798362986566E-3</v>
      </c>
      <c r="W62" s="7">
        <f ca="1"/>
        <v>1.4141161652523385E-2</v>
      </c>
      <c r="Z62">
        <f ca="1"/>
        <v>1</v>
      </c>
      <c r="AA62">
        <f ca="1"/>
        <v>1</v>
      </c>
      <c r="AB62">
        <f ca="1"/>
        <v>1</v>
      </c>
      <c r="AC62">
        <f ca="1"/>
        <v>1</v>
      </c>
      <c r="AD62">
        <f ca="1"/>
        <v>1</v>
      </c>
      <c r="AE62">
        <f ca="1"/>
        <v>1</v>
      </c>
      <c r="AF62">
        <f ca="1"/>
        <v>1</v>
      </c>
      <c r="AG62">
        <f ca="1"/>
        <v>1</v>
      </c>
      <c r="AH62">
        <f ca="1"/>
        <v>1</v>
      </c>
      <c r="AI62">
        <f ca="1"/>
        <v>1</v>
      </c>
      <c r="AJ62">
        <f ca="1"/>
        <v>1</v>
      </c>
      <c r="AK62">
        <f ca="1"/>
        <v>0</v>
      </c>
      <c r="AL62">
        <v>0</v>
      </c>
      <c r="AP62" s="5">
        <v>1</v>
      </c>
      <c r="AQ62" s="5">
        <v>1</v>
      </c>
      <c r="BB62" s="26">
        <v>1.0500000000000034</v>
      </c>
      <c r="BC62" s="13">
        <f t="shared" si="3"/>
        <v>-5.0000000000003375E-2</v>
      </c>
      <c r="BD62" s="12" cm="1">
        <f t="array" aca="1" ref="BD62" ca="1">BB62^2*$BB$16+BC62^2*$BE$16+2*BB62*BC62*MMULT(MMULT(TRANSPOSE(GMVPORT),COVMAT),ORP)</f>
        <v>1.2209709993306575E-3</v>
      </c>
      <c r="BE62" s="12">
        <f t="shared" ca="1" si="4"/>
        <v>3.4942395443510417E-2</v>
      </c>
      <c r="BF62" s="26">
        <f t="shared" ca="1" si="5"/>
        <v>7.0199656469519828E-3</v>
      </c>
    </row>
    <row r="63" spans="1:58" x14ac:dyDescent="0.2">
      <c r="A63" s="17">
        <v>45139</v>
      </c>
      <c r="B63" s="18">
        <v>-3.3014538988751729E-2</v>
      </c>
      <c r="C63" s="18">
        <v>-1.5409083015862969E-2</v>
      </c>
      <c r="D63" s="18">
        <v>1.646085897496596E-2</v>
      </c>
      <c r="E63" s="18">
        <v>-2.6889352707906711E-2</v>
      </c>
      <c r="F63" s="18">
        <v>-1.9833373096299511E-2</v>
      </c>
      <c r="G63" s="18">
        <v>-1.508279601628304E-2</v>
      </c>
      <c r="H63" s="18">
        <v>-3.9471837894290429E-2</v>
      </c>
      <c r="I63" s="18">
        <v>-3.0636210849663389E-2</v>
      </c>
      <c r="J63" s="18">
        <v>-6.1279312519803231E-2</v>
      </c>
      <c r="K63" s="18">
        <v>-7.0069470814519974E-3</v>
      </c>
      <c r="L63" s="18">
        <v>-1.7439939411846739E-2</v>
      </c>
      <c r="M63" s="7">
        <f ca="1"/>
        <v>-4.3120283575932172E-2</v>
      </c>
      <c r="N63" s="7">
        <f ca="1"/>
        <v>-2.6342190771683493E-2</v>
      </c>
      <c r="O63" s="7">
        <f ca="1"/>
        <v>5.5250344105714951E-3</v>
      </c>
      <c r="P63" s="7">
        <f ca="1"/>
        <v>-3.7233677492511635E-2</v>
      </c>
      <c r="Q63" s="7">
        <f ca="1"/>
        <v>-3.0917516032944452E-2</v>
      </c>
      <c r="R63" s="7">
        <f ca="1"/>
        <v>-3.3731143850741968E-2</v>
      </c>
      <c r="S63" s="7">
        <f ca="1"/>
        <v>-4.8437081798295971E-2</v>
      </c>
      <c r="T63" s="7">
        <f ca="1"/>
        <v>-3.9179087331237511E-2</v>
      </c>
      <c r="U63" s="7">
        <f ca="1"/>
        <v>-7.089668193045788E-2</v>
      </c>
      <c r="V63" s="7">
        <f ca="1"/>
        <v>-1.681554394572396E-2</v>
      </c>
      <c r="W63" s="7">
        <f ca="1"/>
        <v>-2.8500378470103612E-2</v>
      </c>
      <c r="Z63" cm="1">
        <f t="array" aca="1" ref="Z63:AJ63" ca="1">TRANSPOSE(MUVEC)</f>
        <v>1.0105744587180446E-2</v>
      </c>
      <c r="AA63">
        <f ca="1"/>
        <v>1.0933107755820523E-2</v>
      </c>
      <c r="AB63">
        <f ca="1"/>
        <v>1.0935824564394465E-2</v>
      </c>
      <c r="AC63">
        <f ca="1"/>
        <v>1.0344324784604928E-2</v>
      </c>
      <c r="AD63">
        <f ca="1"/>
        <v>1.1084142936644939E-2</v>
      </c>
      <c r="AE63">
        <f ca="1"/>
        <v>1.8648347834458925E-2</v>
      </c>
      <c r="AF63">
        <f ca="1"/>
        <v>8.9652439040055435E-3</v>
      </c>
      <c r="AG63">
        <f ca="1"/>
        <v>8.5428764815741222E-3</v>
      </c>
      <c r="AH63">
        <f ca="1"/>
        <v>9.6173694106546515E-3</v>
      </c>
      <c r="AI63">
        <f ca="1"/>
        <v>9.808596864271964E-3</v>
      </c>
      <c r="AJ63">
        <f ca="1"/>
        <v>1.1060439058256873E-2</v>
      </c>
      <c r="AK63">
        <v>0</v>
      </c>
      <c r="AL63">
        <v>0</v>
      </c>
      <c r="AP63" s="5">
        <f ca="1">MUSTAR1</f>
        <v>1.1143211146830511E-2</v>
      </c>
      <c r="AQ63" s="5">
        <f>MUSTAR2</f>
        <v>0.02</v>
      </c>
      <c r="BB63" s="26">
        <v>1.0250000000000035</v>
      </c>
      <c r="BC63" s="13">
        <f t="shared" si="3"/>
        <v>-2.5000000000003464E-2</v>
      </c>
      <c r="BD63" s="12" cm="1">
        <f t="array" aca="1" ref="BD63" ca="1">BB63^2*$BB$16+BC63^2*$BE$16+2*BB63*BC63*MMULT(MMULT(TRANSPOSE(GMVPORT),COVMAT),ORP)</f>
        <v>1.2120889453158346E-3</v>
      </c>
      <c r="BE63" s="12">
        <f t="shared" ca="1" si="4"/>
        <v>3.4815067791343371E-2</v>
      </c>
      <c r="BF63" s="26">
        <f t="shared" ca="1" si="5"/>
        <v>7.5705182717931774E-3</v>
      </c>
    </row>
    <row r="64" spans="1:58" x14ac:dyDescent="0.2">
      <c r="A64" s="17">
        <v>45170</v>
      </c>
      <c r="B64" s="18">
        <v>-5.2358504671239807E-2</v>
      </c>
      <c r="C64" s="18">
        <v>-3.1891455513194063E-2</v>
      </c>
      <c r="D64" s="18">
        <v>1.653171278404364E-2</v>
      </c>
      <c r="E64" s="18">
        <v>-3.5194884962172157E-2</v>
      </c>
      <c r="F64" s="18">
        <v>-6.3291211105090506E-2</v>
      </c>
      <c r="G64" s="18">
        <v>-6.6776791578285644E-2</v>
      </c>
      <c r="H64" s="18">
        <v>-5.4288111329504951E-2</v>
      </c>
      <c r="I64" s="18">
        <v>-7.9686650692518901E-2</v>
      </c>
      <c r="J64" s="18">
        <v>-6.4008888744200521E-2</v>
      </c>
      <c r="K64" s="18">
        <v>-3.3556033082725027E-2</v>
      </c>
      <c r="L64" s="18">
        <v>-5.6997357198532939E-2</v>
      </c>
      <c r="M64" s="7">
        <f ca="1"/>
        <v>-6.2464249258420257E-2</v>
      </c>
      <c r="N64" s="7">
        <f ca="1"/>
        <v>-4.2824563269014584E-2</v>
      </c>
      <c r="O64" s="7">
        <f ca="1"/>
        <v>5.5958882196491741E-3</v>
      </c>
      <c r="P64" s="7">
        <f ca="1"/>
        <v>-4.5539209746777082E-2</v>
      </c>
      <c r="Q64" s="7">
        <f ca="1"/>
        <v>-7.4375354041735439E-2</v>
      </c>
      <c r="R64" s="7">
        <f ca="1"/>
        <v>-8.5425139412744572E-2</v>
      </c>
      <c r="S64" s="7">
        <f ca="1"/>
        <v>-6.32533552335105E-2</v>
      </c>
      <c r="T64" s="7">
        <f ca="1"/>
        <v>-8.822952717409302E-2</v>
      </c>
      <c r="U64" s="7">
        <f ca="1"/>
        <v>-7.362625815485517E-2</v>
      </c>
      <c r="V64" s="7">
        <f ca="1"/>
        <v>-4.336462994699699E-2</v>
      </c>
      <c r="W64" s="7">
        <f ca="1"/>
        <v>-6.8057796256789815E-2</v>
      </c>
      <c r="BB64" s="26">
        <v>1.0000000000000036</v>
      </c>
      <c r="BC64" s="13">
        <f t="shared" si="3"/>
        <v>-3.5527136788005009E-15</v>
      </c>
      <c r="BD64" s="12" cm="1">
        <f t="array" aca="1" ref="BD64" ca="1">BB64^2*$BB$16+BC64^2*$BE$16+2*BB64*BC64*MMULT(MMULT(TRANSPOSE(GMVPORT),COVMAT),ORP)</f>
        <v>1.2091282606442268E-3</v>
      </c>
      <c r="BE64" s="12">
        <f t="shared" ca="1" si="4"/>
        <v>3.4772521631947065E-2</v>
      </c>
      <c r="BF64" s="26">
        <f t="shared" ca="1" si="5"/>
        <v>8.1210708966343702E-3</v>
      </c>
    </row>
    <row r="65" spans="1:58" x14ac:dyDescent="0.2">
      <c r="A65" s="17">
        <v>45200</v>
      </c>
      <c r="B65" s="18">
        <v>-2.7031767438286169E-2</v>
      </c>
      <c r="C65" s="18">
        <v>-1.0500800229981341E-2</v>
      </c>
      <c r="D65" s="18">
        <v>-5.0573604828390017E-2</v>
      </c>
      <c r="E65" s="18">
        <v>-2.005875120979617E-2</v>
      </c>
      <c r="F65" s="18">
        <v>-2.5836483405129451E-2</v>
      </c>
      <c r="G65" s="18">
        <v>2.6251329011708351E-3</v>
      </c>
      <c r="H65" s="18">
        <v>-7.122712782207552E-3</v>
      </c>
      <c r="I65" s="18">
        <v>-2.0724959771508011E-2</v>
      </c>
      <c r="J65" s="18">
        <v>2.1104428015651822E-2</v>
      </c>
      <c r="K65" s="18">
        <v>-2.865600260164014E-2</v>
      </c>
      <c r="L65" s="18">
        <v>-5.3481542198580811E-2</v>
      </c>
      <c r="M65" s="7">
        <f ca="1"/>
        <v>-3.7137512025466612E-2</v>
      </c>
      <c r="N65" s="7">
        <f ca="1"/>
        <v>-2.1433907985801866E-2</v>
      </c>
      <c r="O65" s="7">
        <f ca="1"/>
        <v>-6.1509429392784483E-2</v>
      </c>
      <c r="P65" s="7">
        <f ca="1"/>
        <v>-3.0403075994401098E-2</v>
      </c>
      <c r="Q65" s="7">
        <f ca="1"/>
        <v>-3.6920626341774392E-2</v>
      </c>
      <c r="R65" s="7">
        <f ca="1"/>
        <v>-1.602321493328809E-2</v>
      </c>
      <c r="S65" s="7">
        <f ca="1"/>
        <v>-1.6087956686213094E-2</v>
      </c>
      <c r="T65" s="7">
        <f ca="1"/>
        <v>-2.9267836253082134E-2</v>
      </c>
      <c r="U65" s="7">
        <f ca="1"/>
        <v>1.148705860499717E-2</v>
      </c>
      <c r="V65" s="7">
        <f ca="1"/>
        <v>-3.8464599465912103E-2</v>
      </c>
      <c r="W65" s="7">
        <f ca="1"/>
        <v>-6.4541981256837688E-2</v>
      </c>
      <c r="BB65" s="26">
        <v>0.97500000000000353</v>
      </c>
      <c r="BC65" s="13">
        <f t="shared" si="3"/>
        <v>2.4999999999996469E-2</v>
      </c>
      <c r="BD65" s="12" cm="1">
        <f t="array" aca="1" ref="BD65" ca="1">BB65^2*$BB$16+BC65^2*$BE$16+2*BB65*BC65*MMULT(MMULT(TRANSPOSE(GMVPORT),COVMAT),ORP)</f>
        <v>1.2120889453158337E-3</v>
      </c>
      <c r="BE65" s="12">
        <f t="shared" ca="1" si="4"/>
        <v>3.4815067791343357E-2</v>
      </c>
      <c r="BF65" s="26">
        <f t="shared" ca="1" si="5"/>
        <v>8.6716235214755657E-3</v>
      </c>
    </row>
    <row r="66" spans="1:58" x14ac:dyDescent="0.2">
      <c r="A66" s="17">
        <v>45231</v>
      </c>
      <c r="B66" s="18">
        <v>8.3486881857633977E-2</v>
      </c>
      <c r="C66" s="18">
        <v>7.802831701529378E-2</v>
      </c>
      <c r="D66" s="18">
        <v>-7.1604413545827139E-3</v>
      </c>
      <c r="E66" s="18">
        <v>0.1093943129311299</v>
      </c>
      <c r="F66" s="18">
        <v>8.834900020846459E-2</v>
      </c>
      <c r="G66" s="18">
        <v>0.12895549577240351</v>
      </c>
      <c r="H66" s="18">
        <v>4.1261658423366272E-2</v>
      </c>
      <c r="I66" s="18">
        <v>0.1247733598932466</v>
      </c>
      <c r="J66" s="18">
        <v>5.1432386559272743E-2</v>
      </c>
      <c r="K66" s="18">
        <v>5.4359910940970702E-2</v>
      </c>
      <c r="L66" s="18">
        <v>0.1096646608446785</v>
      </c>
      <c r="M66" s="7">
        <f ca="1"/>
        <v>7.3381137270453534E-2</v>
      </c>
      <c r="N66" s="7">
        <f ca="1"/>
        <v>6.7095209259473251E-2</v>
      </c>
      <c r="O66" s="7">
        <f ca="1"/>
        <v>-1.8096265918977179E-2</v>
      </c>
      <c r="P66" s="7">
        <f ca="1"/>
        <v>9.9049988146524978E-2</v>
      </c>
      <c r="Q66" s="7">
        <f ca="1"/>
        <v>7.7264857271819656E-2</v>
      </c>
      <c r="R66" s="7">
        <f ca="1"/>
        <v>0.11030714793794458</v>
      </c>
      <c r="S66" s="7">
        <f ca="1"/>
        <v>3.229641451936073E-2</v>
      </c>
      <c r="T66" s="7">
        <f ca="1"/>
        <v>0.11623048341167248</v>
      </c>
      <c r="U66" s="7">
        <f ca="1"/>
        <v>4.1815017148618093E-2</v>
      </c>
      <c r="V66" s="7">
        <f ca="1"/>
        <v>4.4551314076698739E-2</v>
      </c>
      <c r="W66" s="7">
        <f ca="1"/>
        <v>9.8604221786421628E-2</v>
      </c>
      <c r="BB66" s="26">
        <v>0.95000000000000351</v>
      </c>
      <c r="BC66" s="13">
        <f t="shared" si="3"/>
        <v>4.9999999999996492E-2</v>
      </c>
      <c r="BD66" s="12" cm="1">
        <f t="array" aca="1" ref="BD66" ca="1">BB66^2*$BB$16+BC66^2*$BE$16+2*BB66*BC66*MMULT(MMULT(TRANSPOSE(GMVPORT),COVMAT),ORP)</f>
        <v>1.2209709993306549E-3</v>
      </c>
      <c r="BE66" s="12">
        <f t="shared" ca="1" si="4"/>
        <v>3.4942395443510382E-2</v>
      </c>
      <c r="BF66" s="26">
        <f t="shared" ca="1" si="5"/>
        <v>9.2221761463167629E-3</v>
      </c>
    </row>
    <row r="67" spans="1:58" x14ac:dyDescent="0.2">
      <c r="A67" s="17">
        <v>45261</v>
      </c>
      <c r="B67" s="18">
        <v>3.7980788933023479E-2</v>
      </c>
      <c r="C67" s="18">
        <v>4.1421919703467092E-2</v>
      </c>
      <c r="D67" s="18">
        <v>-8.7492250840977004E-3</v>
      </c>
      <c r="E67" s="18">
        <v>4.7353810686062918E-2</v>
      </c>
      <c r="F67" s="18">
        <v>6.4829362917408151E-2</v>
      </c>
      <c r="G67" s="18">
        <v>3.9533369652190682E-2</v>
      </c>
      <c r="H67" s="18">
        <v>1.9388475967658799E-2</v>
      </c>
      <c r="I67" s="18">
        <v>7.601408499400053E-2</v>
      </c>
      <c r="J67" s="18">
        <v>9.0822746941550125E-3</v>
      </c>
      <c r="K67" s="18">
        <v>3.8611049957888E-2</v>
      </c>
      <c r="L67" s="18">
        <v>5.9426432724146487E-2</v>
      </c>
      <c r="M67" s="7">
        <f ca="1"/>
        <v>2.7875044345843033E-2</v>
      </c>
      <c r="N67" s="7">
        <f ca="1"/>
        <v>3.048881194764657E-2</v>
      </c>
      <c r="O67" s="7">
        <f ca="1"/>
        <v>-1.9685049648492166E-2</v>
      </c>
      <c r="P67" s="7">
        <f ca="1"/>
        <v>3.7009485901457986E-2</v>
      </c>
      <c r="Q67" s="7">
        <f ca="1"/>
        <v>5.3745219980763211E-2</v>
      </c>
      <c r="R67" s="7">
        <f ca="1"/>
        <v>2.0885021817731757E-2</v>
      </c>
      <c r="S67" s="7">
        <f ca="1"/>
        <v>1.0423232063653256E-2</v>
      </c>
      <c r="T67" s="7">
        <f ca="1"/>
        <v>6.7471208512426412E-2</v>
      </c>
      <c r="U67" s="7">
        <f ca="1"/>
        <v>-5.3509471649963898E-4</v>
      </c>
      <c r="V67" s="7">
        <f ca="1"/>
        <v>2.8802453093616037E-2</v>
      </c>
      <c r="W67" s="7">
        <f ca="1"/>
        <v>4.8365993665889617E-2</v>
      </c>
      <c r="BB67" s="26">
        <v>0.92500000000000349</v>
      </c>
      <c r="BC67" s="13">
        <f t="shared" si="3"/>
        <v>7.4999999999996514E-2</v>
      </c>
      <c r="BD67" s="12" cm="1">
        <f t="array" aca="1" ref="BD67" ca="1">BB67^2*$BB$16+BC67^2*$BE$16+2*BB67*BC67*MMULT(MMULT(TRANSPOSE(GMVPORT),COVMAT),ORP)</f>
        <v>1.2357744226886912E-3</v>
      </c>
      <c r="BE67" s="12">
        <f t="shared" ca="1" si="4"/>
        <v>3.5153583354882771E-2</v>
      </c>
      <c r="BF67" s="26">
        <f t="shared" ca="1" si="5"/>
        <v>9.7727287711579583E-3</v>
      </c>
    </row>
    <row r="68" spans="1:58" x14ac:dyDescent="0.2">
      <c r="A68" s="17">
        <v>45292</v>
      </c>
      <c r="B68" s="18">
        <v>-3.2213717902906169E-2</v>
      </c>
      <c r="C68" s="18">
        <v>4.6880748376682213E-2</v>
      </c>
      <c r="D68" s="18">
        <v>4.4269679251442984E-3</v>
      </c>
      <c r="E68" s="18">
        <v>3.5954504436734203E-2</v>
      </c>
      <c r="F68" s="18">
        <v>-4.2315080996194743E-3</v>
      </c>
      <c r="G68" s="18">
        <v>2.9281662235835171E-2</v>
      </c>
      <c r="H68" s="18">
        <v>2.0030482067936891E-2</v>
      </c>
      <c r="I68" s="18">
        <v>-3.8053350643646788E-2</v>
      </c>
      <c r="J68" s="18">
        <v>-2.054509382766179E-2</v>
      </c>
      <c r="K68" s="18">
        <v>3.3938411956730093E-2</v>
      </c>
      <c r="L68" s="18">
        <v>-4.241509345654082E-2</v>
      </c>
      <c r="M68" s="7">
        <f ca="1"/>
        <v>-4.2319462490086612E-2</v>
      </c>
      <c r="N68" s="7">
        <f ca="1"/>
        <v>3.5947640620861691E-2</v>
      </c>
      <c r="O68" s="7">
        <f ca="1"/>
        <v>-6.5088566392501671E-3</v>
      </c>
      <c r="P68" s="7">
        <f ca="1"/>
        <v>2.5610179652129274E-2</v>
      </c>
      <c r="Q68" s="7">
        <f ca="1"/>
        <v>-1.5315651036264413E-2</v>
      </c>
      <c r="R68" s="7">
        <f ca="1"/>
        <v>1.0633314401376246E-2</v>
      </c>
      <c r="S68" s="7">
        <f ca="1"/>
        <v>1.1065238163931347E-2</v>
      </c>
      <c r="T68" s="7">
        <f ca="1"/>
        <v>-4.6596227125220907E-2</v>
      </c>
      <c r="U68" s="7">
        <f ca="1"/>
        <v>-3.0162463238316443E-2</v>
      </c>
      <c r="V68" s="7">
        <f ca="1"/>
        <v>2.412981509245813E-2</v>
      </c>
      <c r="W68" s="7">
        <f ca="1"/>
        <v>-5.3475532514797697E-2</v>
      </c>
      <c r="BB68" s="26">
        <v>0.90000000000000346</v>
      </c>
      <c r="BC68" s="13">
        <f t="shared" si="3"/>
        <v>9.9999999999996536E-2</v>
      </c>
      <c r="BD68" s="12" cm="1">
        <f t="array" aca="1" ref="BD68" ca="1">BB68^2*$BB$16+BC68^2*$BE$16+2*BB68*BC68*MMULT(MMULT(TRANSPOSE(GMVPORT),COVMAT),ORP)</f>
        <v>1.2564992153899421E-3</v>
      </c>
      <c r="BE68" s="12">
        <f t="shared" ca="1" si="4"/>
        <v>3.544713268220636E-2</v>
      </c>
      <c r="BF68" s="26">
        <f t="shared" ca="1" si="5"/>
        <v>1.0323281395999154E-2</v>
      </c>
    </row>
    <row r="69" spans="1:58" x14ac:dyDescent="0.2">
      <c r="A69" s="17">
        <v>45323</v>
      </c>
      <c r="B69" s="18">
        <v>6.5077202816344215E-2</v>
      </c>
      <c r="C69" s="18">
        <v>4.5861989810609627E-2</v>
      </c>
      <c r="D69" s="18">
        <v>3.2729884502716633E-2</v>
      </c>
      <c r="E69" s="18">
        <v>4.0763741072274762E-2</v>
      </c>
      <c r="F69" s="18">
        <v>7.1839909403180302E-2</v>
      </c>
      <c r="G69" s="18">
        <v>4.7045708728384428E-2</v>
      </c>
      <c r="H69" s="18">
        <v>2.0981748141303051E-2</v>
      </c>
      <c r="I69" s="18">
        <v>2.5701607047183161E-2</v>
      </c>
      <c r="J69" s="18">
        <v>1.057768730949404E-2</v>
      </c>
      <c r="K69" s="18">
        <v>3.1628532678533723E-2</v>
      </c>
      <c r="L69" s="18">
        <v>7.8925828931758701E-2</v>
      </c>
      <c r="M69" s="7">
        <f ca="1"/>
        <v>5.4971458229163772E-2</v>
      </c>
      <c r="N69" s="7">
        <f ca="1"/>
        <v>3.4928882054789105E-2</v>
      </c>
      <c r="O69" s="7">
        <f ca="1"/>
        <v>2.1794059938322168E-2</v>
      </c>
      <c r="P69" s="7">
        <f ca="1"/>
        <v>3.0419416287669834E-2</v>
      </c>
      <c r="Q69" s="7">
        <f ca="1"/>
        <v>6.0755766466535362E-2</v>
      </c>
      <c r="R69" s="7">
        <f ca="1"/>
        <v>2.8397360893925503E-2</v>
      </c>
      <c r="S69" s="7">
        <f ca="1"/>
        <v>1.2016504237297507E-2</v>
      </c>
      <c r="T69" s="7">
        <f ca="1"/>
        <v>1.7158730565609039E-2</v>
      </c>
      <c r="U69" s="7">
        <f ca="1"/>
        <v>9.603178988393888E-4</v>
      </c>
      <c r="V69" s="7">
        <f ca="1"/>
        <v>2.1819935814261761E-2</v>
      </c>
      <c r="W69" s="7">
        <f ca="1"/>
        <v>6.7865389873501825E-2</v>
      </c>
      <c r="BB69" s="26">
        <v>0.87500000000000344</v>
      </c>
      <c r="BC69" s="13">
        <f t="shared" si="3"/>
        <v>0.12499999999999656</v>
      </c>
      <c r="BD69" s="12" cm="1">
        <f t="array" aca="1" ref="BD69" ca="1">BB69^2*$BB$16+BC69^2*$BE$16+2*BB69*BC69*MMULT(MMULT(TRANSPOSE(GMVPORT),COVMAT),ORP)</f>
        <v>1.2831453774344078E-3</v>
      </c>
      <c r="BE69" s="12">
        <f t="shared" ca="1" si="4"/>
        <v>3.5821018654337677E-2</v>
      </c>
      <c r="BF69" s="26">
        <f t="shared" ca="1" si="5"/>
        <v>1.0873834020840349E-2</v>
      </c>
    </row>
    <row r="70" spans="1:58" x14ac:dyDescent="0.2">
      <c r="A70" s="17">
        <v>45352</v>
      </c>
      <c r="B70" s="18">
        <v>6.0872521378466438E-2</v>
      </c>
      <c r="C70" s="18">
        <v>2.8981876729497369E-2</v>
      </c>
      <c r="D70" s="18">
        <v>9.6006551843046184E-2</v>
      </c>
      <c r="E70" s="18">
        <v>4.4124890467009743E-2</v>
      </c>
      <c r="F70" s="18">
        <v>4.0991671382037957E-2</v>
      </c>
      <c r="G70" s="18">
        <v>6.2326209325209714E-3</v>
      </c>
      <c r="H70" s="18">
        <v>2.5655029082719331E-2</v>
      </c>
      <c r="I70" s="18">
        <v>1.0738880146437649E-2</v>
      </c>
      <c r="J70" s="18">
        <v>5.7165890209855519E-2</v>
      </c>
      <c r="K70" s="18">
        <v>2.0093740313523959E-2</v>
      </c>
      <c r="L70" s="18">
        <v>-2.8198216255885811E-3</v>
      </c>
      <c r="M70" s="7">
        <f ca="1"/>
        <v>5.0766776791285995E-2</v>
      </c>
      <c r="N70" s="7">
        <f ca="1"/>
        <v>1.8048768973676847E-2</v>
      </c>
      <c r="O70" s="7">
        <f ca="1"/>
        <v>8.5070727278651725E-2</v>
      </c>
      <c r="P70" s="7">
        <f ca="1"/>
        <v>3.3780565682404812E-2</v>
      </c>
      <c r="Q70" s="7">
        <f ca="1"/>
        <v>2.9907528445393017E-2</v>
      </c>
      <c r="R70" s="7">
        <f ca="1"/>
        <v>-1.2415726901937953E-2</v>
      </c>
      <c r="S70" s="7">
        <f ca="1"/>
        <v>1.6689785178713785E-2</v>
      </c>
      <c r="T70" s="7">
        <f ca="1"/>
        <v>2.1960036648635273E-3</v>
      </c>
      <c r="U70" s="7">
        <f ca="1"/>
        <v>4.7548520799200869E-2</v>
      </c>
      <c r="V70" s="7">
        <f ca="1"/>
        <v>1.0285143449251995E-2</v>
      </c>
      <c r="W70" s="7">
        <f ca="1"/>
        <v>-1.3880260683845454E-2</v>
      </c>
      <c r="BB70" s="26">
        <v>0.85000000000000342</v>
      </c>
      <c r="BC70" s="13">
        <f t="shared" si="3"/>
        <v>0.14999999999999658</v>
      </c>
      <c r="BD70" s="12" cm="1">
        <f t="array" aca="1" ref="BD70" ca="1">BB70^2*$BB$16+BC70^2*$BE$16+2*BB70*BC70*MMULT(MMULT(TRANSPOSE(GMVPORT),COVMAT),ORP)</f>
        <v>1.315712908822088E-3</v>
      </c>
      <c r="BE70" s="12">
        <f t="shared" ca="1" si="4"/>
        <v>3.6272757116355081E-2</v>
      </c>
      <c r="BF70" s="26">
        <f t="shared" ca="1" si="5"/>
        <v>1.1424386645681545E-2</v>
      </c>
    </row>
    <row r="71" spans="1:58" x14ac:dyDescent="0.2">
      <c r="A71" s="17">
        <v>45383</v>
      </c>
      <c r="B71" s="18">
        <v>-4.2433244196927178E-2</v>
      </c>
      <c r="C71" s="18">
        <v>-4.3954129643545392E-2</v>
      </c>
      <c r="D71" s="18">
        <v>-1.421868087767453E-3</v>
      </c>
      <c r="E71" s="18">
        <v>-3.8177675728006122E-2</v>
      </c>
      <c r="F71" s="18">
        <v>-3.2267714590712093E-2</v>
      </c>
      <c r="G71" s="18">
        <v>-5.6061423310562852E-2</v>
      </c>
      <c r="H71" s="18">
        <v>-3.983306244091489E-3</v>
      </c>
      <c r="I71" s="18">
        <v>-7.8259699034684882E-2</v>
      </c>
      <c r="J71" s="18">
        <v>2.5002250531952042E-2</v>
      </c>
      <c r="K71" s="18">
        <v>-4.6661179262626577E-2</v>
      </c>
      <c r="L71" s="18">
        <v>-4.2892268106279767E-2</v>
      </c>
      <c r="M71" s="7">
        <f ca="1"/>
        <v>-5.2538988784107621E-2</v>
      </c>
      <c r="N71" s="7">
        <f ca="1"/>
        <v>-5.4887237399365914E-2</v>
      </c>
      <c r="O71" s="7">
        <f ca="1"/>
        <v>-1.2357692652161918E-2</v>
      </c>
      <c r="P71" s="7">
        <f ca="1"/>
        <v>-4.8522000512611047E-2</v>
      </c>
      <c r="Q71" s="7">
        <f ca="1"/>
        <v>-4.3351857527357034E-2</v>
      </c>
      <c r="R71" s="7">
        <f ca="1"/>
        <v>-7.4709771145021781E-2</v>
      </c>
      <c r="S71" s="7">
        <f ca="1"/>
        <v>-1.2948550148097033E-2</v>
      </c>
      <c r="T71" s="7">
        <f ca="1"/>
        <v>-8.6802575516259001E-2</v>
      </c>
      <c r="U71" s="7">
        <f ca="1"/>
        <v>1.538488112129739E-2</v>
      </c>
      <c r="V71" s="7">
        <f ca="1"/>
        <v>-5.646977612689854E-2</v>
      </c>
      <c r="W71" s="7">
        <f ca="1"/>
        <v>-5.3952707164536637E-2</v>
      </c>
      <c r="BB71" s="26">
        <v>0.8250000000000034</v>
      </c>
      <c r="BC71" s="13">
        <f t="shared" si="3"/>
        <v>0.1749999999999966</v>
      </c>
      <c r="BD71" s="12" cm="1">
        <f t="array" aca="1" ref="BD71" ca="1">BB71^2*$BB$16+BC71^2*$BE$16+2*BB71*BC71*MMULT(MMULT(TRANSPOSE(GMVPORT),COVMAT),ORP)</f>
        <v>1.354201809552983E-3</v>
      </c>
      <c r="BE71" s="12">
        <f t="shared" ca="1" si="4"/>
        <v>3.6799481104398513E-2</v>
      </c>
      <c r="BF71" s="26">
        <f t="shared" ca="1" si="5"/>
        <v>1.1974939270522742E-2</v>
      </c>
    </row>
    <row r="72" spans="1:58" x14ac:dyDescent="0.2">
      <c r="A72" s="17">
        <v>45413</v>
      </c>
      <c r="B72" s="18">
        <v>3.2720331371696831E-2</v>
      </c>
      <c r="C72" s="18">
        <v>6.9355228919675715E-2</v>
      </c>
      <c r="D72" s="18">
        <v>-3.4217203124222721E-3</v>
      </c>
      <c r="E72" s="18">
        <v>3.1714643444777917E-2</v>
      </c>
      <c r="F72" s="18">
        <v>1.6375964331620141E-2</v>
      </c>
      <c r="G72" s="18">
        <v>7.0769891899963744E-2</v>
      </c>
      <c r="H72" s="18">
        <v>2.4370858758027799E-2</v>
      </c>
      <c r="I72" s="18">
        <v>5.1395379558337062E-2</v>
      </c>
      <c r="J72" s="18">
        <v>8.9601444189076451E-2</v>
      </c>
      <c r="K72" s="18">
        <v>2.401483904644075E-2</v>
      </c>
      <c r="L72" s="18">
        <v>1.993006416412646E-3</v>
      </c>
      <c r="M72" s="7">
        <f ca="1"/>
        <v>2.2614586784516385E-2</v>
      </c>
      <c r="N72" s="7">
        <f ca="1"/>
        <v>5.8422121163855194E-2</v>
      </c>
      <c r="O72" s="7">
        <f ca="1"/>
        <v>-1.4357544876816737E-2</v>
      </c>
      <c r="P72" s="7">
        <f ca="1"/>
        <v>2.1370318660172988E-2</v>
      </c>
      <c r="Q72" s="7">
        <f ca="1"/>
        <v>5.2918213949752022E-3</v>
      </c>
      <c r="R72" s="7">
        <f ca="1"/>
        <v>5.2121544065504816E-2</v>
      </c>
      <c r="S72" s="7">
        <f ca="1"/>
        <v>1.5405614854022255E-2</v>
      </c>
      <c r="T72" s="7">
        <f ca="1"/>
        <v>4.2852503076762943E-2</v>
      </c>
      <c r="U72" s="7">
        <f ca="1"/>
        <v>7.9984074778421801E-2</v>
      </c>
      <c r="V72" s="7">
        <f ca="1"/>
        <v>1.4206242182168786E-2</v>
      </c>
      <c r="W72" s="7">
        <f ca="1"/>
        <v>-9.0674326418442273E-3</v>
      </c>
      <c r="BB72" s="26">
        <v>0.80000000000000338</v>
      </c>
      <c r="BC72" s="13">
        <f t="shared" si="3"/>
        <v>0.19999999999999662</v>
      </c>
      <c r="BD72" s="12" cm="1">
        <f t="array" aca="1" ref="BD72" ca="1">BB72^2*$BB$16+BC72^2*$BE$16+2*BB72*BC72*MMULT(MMULT(TRANSPOSE(GMVPORT),COVMAT),ORP)</f>
        <v>1.3986120796270927E-3</v>
      </c>
      <c r="BE72" s="12">
        <f t="shared" ca="1" si="4"/>
        <v>3.7398022402623014E-2</v>
      </c>
      <c r="BF72" s="26">
        <f t="shared" ca="1" si="5"/>
        <v>1.2525491895363939E-2</v>
      </c>
    </row>
    <row r="73" spans="1:58" x14ac:dyDescent="0.2">
      <c r="A73" s="17">
        <v>45444</v>
      </c>
      <c r="B73" s="18">
        <v>-3.5179780003237182E-2</v>
      </c>
      <c r="C73" s="18">
        <v>2.8825377434917861E-2</v>
      </c>
      <c r="D73" s="18">
        <v>-2.1995648343851371E-2</v>
      </c>
      <c r="E73" s="18">
        <v>-1.272811876894442E-2</v>
      </c>
      <c r="F73" s="18">
        <v>-1.3278283925030049E-2</v>
      </c>
      <c r="G73" s="18">
        <v>7.6465538359260288E-2</v>
      </c>
      <c r="H73" s="18">
        <v>-9.8266730549118053E-3</v>
      </c>
      <c r="I73" s="18">
        <v>9.4612918503556021E-3</v>
      </c>
      <c r="J73" s="18">
        <v>-6.2981290457360228E-2</v>
      </c>
      <c r="K73" s="18">
        <v>1.4265707059634369E-2</v>
      </c>
      <c r="L73" s="18">
        <v>3.6540226380907148E-2</v>
      </c>
      <c r="M73" s="7">
        <f ca="1"/>
        <v>-4.5285524590417625E-2</v>
      </c>
      <c r="N73" s="7">
        <f ca="1"/>
        <v>1.7892269679097336E-2</v>
      </c>
      <c r="O73" s="7">
        <f ca="1"/>
        <v>-3.2931472908245836E-2</v>
      </c>
      <c r="P73" s="7">
        <f ca="1"/>
        <v>-2.307244355354935E-2</v>
      </c>
      <c r="Q73" s="7">
        <f ca="1"/>
        <v>-2.4362426861674988E-2</v>
      </c>
      <c r="R73" s="7">
        <f ca="1"/>
        <v>5.781719052480136E-2</v>
      </c>
      <c r="S73" s="7">
        <f ca="1"/>
        <v>-1.8791916958917347E-2</v>
      </c>
      <c r="T73" s="7">
        <f ca="1"/>
        <v>9.1841536878147986E-4</v>
      </c>
      <c r="U73" s="7">
        <f ca="1"/>
        <v>-7.2598659868014878E-2</v>
      </c>
      <c r="V73" s="7">
        <f ca="1"/>
        <v>4.4571101953624053E-3</v>
      </c>
      <c r="W73" s="7">
        <f ca="1"/>
        <v>2.5479787322650275E-2</v>
      </c>
      <c r="BB73" s="26">
        <v>0.77500000000000335</v>
      </c>
      <c r="BC73" s="13">
        <f t="shared" si="3"/>
        <v>0.22499999999999665</v>
      </c>
      <c r="BD73" s="12" cm="1">
        <f t="array" aca="1" ref="BD73" ca="1">BB73^2*$BB$16+BC73^2*$BE$16+2*BB73*BC73*MMULT(MMULT(TRANSPOSE(GMVPORT),COVMAT),ORP)</f>
        <v>1.4489437190444172E-3</v>
      </c>
      <c r="BE73" s="12">
        <f t="shared" ca="1" si="4"/>
        <v>3.8064993354057178E-2</v>
      </c>
      <c r="BF73" s="26">
        <f t="shared" ca="1" si="5"/>
        <v>1.3076044520205134E-2</v>
      </c>
    </row>
    <row r="74" spans="1:58" x14ac:dyDescent="0.2">
      <c r="A74" s="17">
        <v>45474</v>
      </c>
      <c r="B74" s="18">
        <v>4.8340385594118462E-2</v>
      </c>
      <c r="C74" s="18">
        <v>4.1657504141610069E-3</v>
      </c>
      <c r="D74" s="18">
        <v>3.0812102364627499E-2</v>
      </c>
      <c r="E74" s="18">
        <v>6.8187413169844557E-2</v>
      </c>
      <c r="F74" s="18">
        <v>5.2754869374836977E-2</v>
      </c>
      <c r="G74" s="18">
        <v>-3.1146006134681992E-2</v>
      </c>
      <c r="H74" s="18">
        <v>2.425895241189879E-2</v>
      </c>
      <c r="I74" s="18">
        <v>8.3271529822530166E-2</v>
      </c>
      <c r="J74" s="18">
        <v>7.6854809073180208E-2</v>
      </c>
      <c r="K74" s="18">
        <v>3.064371755737683E-2</v>
      </c>
      <c r="L74" s="18">
        <v>3.0117081097864599E-2</v>
      </c>
      <c r="M74" s="7">
        <f ca="1"/>
        <v>3.8234641006938019E-2</v>
      </c>
      <c r="N74" s="7">
        <f ca="1"/>
        <v>-6.7673573416595165E-3</v>
      </c>
      <c r="O74" s="7">
        <f ca="1"/>
        <v>1.9876277800233034E-2</v>
      </c>
      <c r="P74" s="7">
        <f ca="1"/>
        <v>5.7843088385239633E-2</v>
      </c>
      <c r="Q74" s="7">
        <f ca="1"/>
        <v>4.1670726438192036E-2</v>
      </c>
      <c r="R74" s="7">
        <f ca="1"/>
        <v>-4.979435396914092E-2</v>
      </c>
      <c r="S74" s="7">
        <f ca="1"/>
        <v>1.5293708507893246E-2</v>
      </c>
      <c r="T74" s="7">
        <f ca="1"/>
        <v>7.4728653340956047E-2</v>
      </c>
      <c r="U74" s="7">
        <f ca="1"/>
        <v>6.7237439662525558E-2</v>
      </c>
      <c r="V74" s="7">
        <f ca="1"/>
        <v>2.0835120693104864E-2</v>
      </c>
      <c r="W74" s="7">
        <f ca="1"/>
        <v>1.9056642039607725E-2</v>
      </c>
      <c r="BB74" s="26">
        <v>0.75000000000000333</v>
      </c>
      <c r="BC74" s="13">
        <f t="shared" si="3"/>
        <v>0.24999999999999667</v>
      </c>
      <c r="BD74" s="12" cm="1">
        <f t="array" aca="1" ref="BD74" ca="1">BB74^2*$BB$16+BC74^2*$BE$16+2*BB74*BC74*MMULT(MMULT(TRANSPOSE(GMVPORT),COVMAT),ORP)</f>
        <v>1.5051967278049562E-3</v>
      </c>
      <c r="BE74" s="12">
        <f t="shared" ca="1" si="4"/>
        <v>3.8796864922374281E-2</v>
      </c>
      <c r="BF74" s="26">
        <f t="shared" ca="1" si="5"/>
        <v>1.362659714504633E-2</v>
      </c>
    </row>
    <row r="75" spans="1:58" x14ac:dyDescent="0.2">
      <c r="A75" s="17">
        <v>45505</v>
      </c>
      <c r="B75" s="18">
        <v>2.322546786201141E-2</v>
      </c>
      <c r="C75" s="18">
        <v>1.7834215025330339E-2</v>
      </c>
      <c r="D75" s="18">
        <v>-2.070593474342242E-2</v>
      </c>
      <c r="E75" s="18">
        <v>4.5724788231578772E-2</v>
      </c>
      <c r="F75" s="18">
        <v>2.815590647622845E-2</v>
      </c>
      <c r="G75" s="18">
        <v>6.9927368204401041E-3</v>
      </c>
      <c r="H75" s="18">
        <v>5.9858717478010082E-2</v>
      </c>
      <c r="I75" s="18">
        <v>5.7295502040932027E-2</v>
      </c>
      <c r="J75" s="18">
        <v>4.8083609648020387E-2</v>
      </c>
      <c r="K75" s="18">
        <v>5.059134791458586E-2</v>
      </c>
      <c r="L75" s="18">
        <v>-1.973488269981782E-3</v>
      </c>
      <c r="M75" s="7">
        <f ca="1"/>
        <v>1.3119723274830963E-2</v>
      </c>
      <c r="N75" s="7">
        <f ca="1"/>
        <v>6.9011072695098156E-3</v>
      </c>
      <c r="O75" s="7">
        <f ca="1"/>
        <v>-3.1641759307816889E-2</v>
      </c>
      <c r="P75" s="7">
        <f ca="1"/>
        <v>3.5380463446973848E-2</v>
      </c>
      <c r="Q75" s="7">
        <f ca="1"/>
        <v>1.7071763539583514E-2</v>
      </c>
      <c r="R75" s="7">
        <f ca="1"/>
        <v>-1.1655611014018821E-2</v>
      </c>
      <c r="S75" s="7">
        <f ca="1"/>
        <v>5.089347357400454E-2</v>
      </c>
      <c r="T75" s="7">
        <f ca="1"/>
        <v>4.8752625559357901E-2</v>
      </c>
      <c r="U75" s="7">
        <f ca="1"/>
        <v>3.8466240237365737E-2</v>
      </c>
      <c r="V75" s="7">
        <f ca="1"/>
        <v>4.0782751050313898E-2</v>
      </c>
      <c r="W75" s="7">
        <f ca="1"/>
        <v>-1.3033927328238656E-2</v>
      </c>
      <c r="BB75" s="26">
        <v>0.72500000000000331</v>
      </c>
      <c r="BC75" s="13">
        <f t="shared" si="3"/>
        <v>0.27499999999999669</v>
      </c>
      <c r="BD75" s="12" cm="1">
        <f t="array" aca="1" ref="BD75" ca="1">BB75^2*$BB$16+BC75^2*$BE$16+2*BB75*BC75*MMULT(MMULT(TRANSPOSE(GMVPORT),COVMAT),ORP)</f>
        <v>1.5673711059087101E-3</v>
      </c>
      <c r="BE75" s="12">
        <f t="shared" ca="1" si="4"/>
        <v>3.9590037962961212E-2</v>
      </c>
      <c r="BF75" s="26">
        <f t="shared" ca="1" si="5"/>
        <v>1.4177149769887525E-2</v>
      </c>
    </row>
    <row r="76" spans="1:58" x14ac:dyDescent="0.2">
      <c r="A76" s="17">
        <v>45536</v>
      </c>
      <c r="B76" s="18">
        <v>2.2274068715958831E-2</v>
      </c>
      <c r="C76" s="18">
        <v>3.5272630870924582E-2</v>
      </c>
      <c r="D76" s="18">
        <v>-3.8124406036376901E-2</v>
      </c>
      <c r="E76" s="18">
        <v>-9.1823665215886585E-3</v>
      </c>
      <c r="F76" s="18">
        <v>3.0275347302038069E-2</v>
      </c>
      <c r="G76" s="18">
        <v>2.4644751848888809E-2</v>
      </c>
      <c r="H76" s="18">
        <v>5.9386940413386213E-3</v>
      </c>
      <c r="I76" s="18">
        <v>2.571751058004712E-2</v>
      </c>
      <c r="J76" s="18">
        <v>5.8854255445859323E-2</v>
      </c>
      <c r="K76" s="18">
        <v>-2.0228903474744708E-2</v>
      </c>
      <c r="L76" s="18">
        <v>7.0810179406586737E-2</v>
      </c>
      <c r="M76" s="7">
        <f ca="1"/>
        <v>1.2168324128778385E-2</v>
      </c>
      <c r="N76" s="7">
        <f ca="1"/>
        <v>2.433952311510406E-2</v>
      </c>
      <c r="O76" s="7">
        <f ca="1"/>
        <v>-4.9060230600771366E-2</v>
      </c>
      <c r="P76" s="7">
        <f ca="1"/>
        <v>-1.9526691306193587E-2</v>
      </c>
      <c r="Q76" s="7">
        <f ca="1"/>
        <v>1.9191204365393129E-2</v>
      </c>
      <c r="R76" s="7">
        <f ca="1"/>
        <v>5.9964040144298847E-3</v>
      </c>
      <c r="S76" s="7">
        <f ca="1"/>
        <v>-3.0265498626669222E-3</v>
      </c>
      <c r="T76" s="7">
        <f ca="1"/>
        <v>1.7174634098472998E-2</v>
      </c>
      <c r="U76" s="7">
        <f ca="1"/>
        <v>4.9236886035204673E-2</v>
      </c>
      <c r="V76" s="7">
        <f ca="1"/>
        <v>-3.0037500339016671E-2</v>
      </c>
      <c r="W76" s="7">
        <f ca="1"/>
        <v>5.9749740348329861E-2</v>
      </c>
      <c r="BB76" s="26">
        <v>0.70000000000000329</v>
      </c>
      <c r="BC76" s="13">
        <f t="shared" si="3"/>
        <v>0.29999999999999671</v>
      </c>
      <c r="BD76" s="12" cm="1">
        <f t="array" aca="1" ref="BD76" ca="1">BB76^2*$BB$16+BC76^2*$BE$16+2*BB76*BC76*MMULT(MMULT(TRANSPOSE(GMVPORT),COVMAT),ORP)</f>
        <v>1.6354668533556786E-3</v>
      </c>
      <c r="BE76" s="12">
        <f t="shared" ca="1" si="4"/>
        <v>4.0440905694057824E-2</v>
      </c>
      <c r="BF76" s="26">
        <f t="shared" ca="1" si="5"/>
        <v>1.4727702394728721E-2</v>
      </c>
    </row>
    <row r="77" spans="1:58" x14ac:dyDescent="0.2">
      <c r="BB77" s="26">
        <v>0.67500000000000326</v>
      </c>
      <c r="BC77" s="13">
        <f t="shared" si="3"/>
        <v>0.32499999999999674</v>
      </c>
      <c r="BD77" s="12" cm="1">
        <f t="array" aca="1" ref="BD77" ca="1">BB77^2*$BB$16+BC77^2*$BE$16+2*BB77*BC77*MMULT(MMULT(TRANSPOSE(GMVPORT),COVMAT),ORP)</f>
        <v>1.7094839701458618E-3</v>
      </c>
      <c r="BE77" s="12">
        <f t="shared" ca="1" si="4"/>
        <v>4.1345906328751118E-2</v>
      </c>
      <c r="BF77" s="26">
        <f t="shared" ca="1" si="5"/>
        <v>1.5278255019569916E-2</v>
      </c>
    </row>
    <row r="78" spans="1:58" x14ac:dyDescent="0.2">
      <c r="BB78" s="26">
        <v>0.65000000000000324</v>
      </c>
      <c r="BC78" s="13">
        <f t="shared" si="3"/>
        <v>0.34999999999999676</v>
      </c>
      <c r="BD78" s="12" cm="1">
        <f t="array" aca="1" ref="BD78" ca="1">BB78^2*$BB$16+BC78^2*$BE$16+2*BB78*BC78*MMULT(MMULT(TRANSPOSE(GMVPORT),COVMAT),ORP)</f>
        <v>1.7894224562792597E-3</v>
      </c>
      <c r="BE78" s="12">
        <f t="shared" ca="1" si="4"/>
        <v>4.2301565648085175E-2</v>
      </c>
      <c r="BF78" s="26">
        <f t="shared" ca="1" si="5"/>
        <v>1.5828807644411115E-2</v>
      </c>
    </row>
    <row r="79" spans="1:58" x14ac:dyDescent="0.2">
      <c r="BB79" s="26">
        <v>0.62500000000000322</v>
      </c>
      <c r="BC79" s="13">
        <f t="shared" si="3"/>
        <v>0.37499999999999678</v>
      </c>
      <c r="BD79" s="12" cm="1">
        <f t="array" aca="1" ref="BD79" ca="1">BB79^2*$BB$16+BC79^2*$BE$16+2*BB79*BC79*MMULT(MMULT(TRANSPOSE(GMVPORT),COVMAT),ORP)</f>
        <v>1.8752823117558727E-3</v>
      </c>
      <c r="BE79" s="12">
        <f t="shared" ca="1" si="4"/>
        <v>4.3304529921890073E-2</v>
      </c>
      <c r="BF79" s="26">
        <f t="shared" ca="1" si="5"/>
        <v>1.637936026925231E-2</v>
      </c>
    </row>
    <row r="80" spans="1:58" x14ac:dyDescent="0.2">
      <c r="BB80" s="26">
        <v>0.6000000000000032</v>
      </c>
      <c r="BC80" s="13">
        <f t="shared" si="3"/>
        <v>0.3999999999999968</v>
      </c>
      <c r="BD80" s="12" cm="1">
        <f t="array" aca="1" ref="BD80" ca="1">BB80^2*$BB$16+BC80^2*$BE$16+2*BB80*BC80*MMULT(MMULT(TRANSPOSE(GMVPORT),COVMAT),ORP)</f>
        <v>1.9670635365756999E-3</v>
      </c>
      <c r="BE80" s="12">
        <f ca="1">SQRT(BD80)</f>
        <v>4.4351590011810174E-2</v>
      </c>
      <c r="BF80" s="26">
        <f t="shared" ca="1" si="5"/>
        <v>1.6929912894093506E-2</v>
      </c>
    </row>
    <row r="81" spans="54:58" x14ac:dyDescent="0.2">
      <c r="BB81" s="26">
        <v>0.57500000000000318</v>
      </c>
      <c r="BC81" s="13">
        <f t="shared" si="3"/>
        <v>0.42499999999999682</v>
      </c>
      <c r="BD81" s="12" cm="1">
        <f t="array" aca="1" ref="BD81" ca="1">BB81^2*$BB$16+BC81^2*$BE$16+2*BB81*BC81*MMULT(MMULT(TRANSPOSE(GMVPORT),COVMAT),ORP)</f>
        <v>2.0647661307387419E-3</v>
      </c>
      <c r="BE81" s="12">
        <f t="shared" ca="1" si="4"/>
        <v>4.5439697740398119E-2</v>
      </c>
      <c r="BF81" s="26">
        <f t="shared" ca="1" si="5"/>
        <v>1.7480465518934701E-2</v>
      </c>
    </row>
    <row r="82" spans="54:58" x14ac:dyDescent="0.2">
      <c r="BB82" s="26">
        <v>0.55000000000000315</v>
      </c>
      <c r="BC82" s="13">
        <f t="shared" si="3"/>
        <v>0.44999999999999685</v>
      </c>
      <c r="BD82" s="12" cm="1">
        <f t="array" aca="1" ref="BD82" ca="1">BB82^2*$BB$16+BC82^2*$BE$16+2*BB82*BC82*MMULT(MMULT(TRANSPOSE(GMVPORT),COVMAT),ORP)</f>
        <v>2.168390094244999E-3</v>
      </c>
      <c r="BE82" s="12">
        <f t="shared" ca="1" si="4"/>
        <v>4.6565975714517129E-2</v>
      </c>
      <c r="BF82" s="26">
        <f t="shared" ca="1" si="5"/>
        <v>1.8031018143775897E-2</v>
      </c>
    </row>
    <row r="83" spans="54:58" x14ac:dyDescent="0.2">
      <c r="BB83" s="26">
        <v>0.52500000000000313</v>
      </c>
      <c r="BC83" s="13">
        <f t="shared" si="3"/>
        <v>0.47499999999999687</v>
      </c>
      <c r="BD83" s="12" cm="1">
        <f t="array" aca="1" ref="BD83" ca="1">BB83^2*$BB$16+BC83^2*$BE$16+2*BB83*BC83*MMULT(MMULT(TRANSPOSE(GMVPORT),COVMAT),ORP)</f>
        <v>2.2779354270944705E-3</v>
      </c>
      <c r="BE83" s="12">
        <f t="shared" ca="1" si="4"/>
        <v>4.7727721788227755E-2</v>
      </c>
      <c r="BF83" s="26">
        <f t="shared" ca="1" si="5"/>
        <v>1.8581570768617092E-2</v>
      </c>
    </row>
    <row r="84" spans="54:58" x14ac:dyDescent="0.2">
      <c r="BB84" s="26">
        <v>0.50000000000000311</v>
      </c>
      <c r="BC84" s="13">
        <f t="shared" si="3"/>
        <v>0.49999999999999689</v>
      </c>
      <c r="BD84" s="12" cm="1">
        <f t="array" aca="1" ref="BD84" ca="1">BB84^2*$BB$16+BC84^2*$BE$16+2*BB84*BC84*MMULT(MMULT(TRANSPOSE(GMVPORT),COVMAT),ORP)</f>
        <v>2.3934021292871567E-3</v>
      </c>
      <c r="BE84" s="12">
        <f t="shared" ca="1" si="4"/>
        <v>4.8922409275169151E-2</v>
      </c>
      <c r="BF84" s="26">
        <f t="shared" ca="1" si="5"/>
        <v>1.9132123393458288E-2</v>
      </c>
    </row>
    <row r="85" spans="54:58" x14ac:dyDescent="0.2">
      <c r="BB85" s="26">
        <v>0.47500000000000309</v>
      </c>
      <c r="BC85" s="13">
        <f t="shared" si="3"/>
        <v>0.52499999999999691</v>
      </c>
      <c r="BD85" s="12" cm="1">
        <f t="array" aca="1" ref="BD85" ca="1">BB85^2*$BB$16+BC85^2*$BE$16+2*BB85*BC85*MMULT(MMULT(TRANSPOSE(GMVPORT),COVMAT),ORP)</f>
        <v>2.5147902008230572E-3</v>
      </c>
      <c r="BE85" s="12">
        <f t="shared" ca="1" si="4"/>
        <v>5.0147683902878874E-2</v>
      </c>
      <c r="BF85" s="26">
        <f t="shared" ca="1" si="5"/>
        <v>1.9682676018299487E-2</v>
      </c>
    </row>
    <row r="86" spans="54:58" x14ac:dyDescent="0.2">
      <c r="BB86" s="26">
        <v>0.45000000000000306</v>
      </c>
      <c r="BC86" s="13">
        <f t="shared" si="3"/>
        <v>0.54999999999999694</v>
      </c>
      <c r="BD86" s="12" cm="1">
        <f t="array" aca="1" ref="BD86" ca="1">BB86^2*$BB$16+BC86^2*$BE$16+2*BB86*BC86*MMULT(MMULT(TRANSPOSE(GMVPORT),COVMAT),ORP)</f>
        <v>2.6420996417021729E-3</v>
      </c>
      <c r="BE86" s="12">
        <f t="shared" ca="1" si="4"/>
        <v>5.1401358364367891E-2</v>
      </c>
      <c r="BF86" s="26">
        <f t="shared" ca="1" si="5"/>
        <v>2.0233228643140682E-2</v>
      </c>
    </row>
    <row r="87" spans="54:58" x14ac:dyDescent="0.2">
      <c r="BB87" s="26">
        <v>0.42500000000000304</v>
      </c>
      <c r="BC87" s="13">
        <f t="shared" si="3"/>
        <v>0.57499999999999696</v>
      </c>
      <c r="BD87" s="12" cm="1">
        <f t="array" aca="1" ref="BD87" ca="1">BB87^2*$BB$16+BC87^2*$BE$16+2*BB87*BC87*MMULT(MMULT(TRANSPOSE(GMVPORT),COVMAT),ORP)</f>
        <v>2.7753304519245038E-3</v>
      </c>
      <c r="BE87" s="12">
        <f t="shared" ca="1" si="4"/>
        <v>5.2681405181757478E-2</v>
      </c>
      <c r="BF87" s="26">
        <f t="shared" ca="1" si="5"/>
        <v>2.0783781267981877E-2</v>
      </c>
    </row>
    <row r="88" spans="54:58" x14ac:dyDescent="0.2">
      <c r="BB88" s="26">
        <v>0.40000000000000302</v>
      </c>
      <c r="BC88" s="13">
        <f t="shared" si="3"/>
        <v>0.59999999999999698</v>
      </c>
      <c r="BD88" s="12" cm="1">
        <f t="array" aca="1" ref="BD88" ca="1">BB88^2*$BB$16+BC88^2*$BE$16+2*BB88*BC88*MMULT(MMULT(TRANSPOSE(GMVPORT),COVMAT),ORP)</f>
        <v>2.9144826314900481E-3</v>
      </c>
      <c r="BE88" s="12">
        <f t="shared" ca="1" si="4"/>
        <v>5.3985948463373762E-2</v>
      </c>
      <c r="BF88" s="26">
        <f t="shared" ca="1" si="5"/>
        <v>2.1334333892823069E-2</v>
      </c>
    </row>
    <row r="89" spans="54:58" x14ac:dyDescent="0.2">
      <c r="BB89" s="26">
        <v>0.375000000000003</v>
      </c>
      <c r="BC89" s="13">
        <f t="shared" ref="BC89:BC151" si="6">1-BB89</f>
        <v>0.624999999999997</v>
      </c>
      <c r="BD89" s="12" cm="1">
        <f t="array" aca="1" ref="BD89" ca="1">BB89^2*$BB$16+BC89^2*$BE$16+2*BB89*BC89*MMULT(MMULT(TRANSPOSE(GMVPORT),COVMAT),ORP)</f>
        <v>3.0595561803988085E-3</v>
      </c>
      <c r="BE89" s="12">
        <f t="shared" ref="BE89:BE151" ca="1" si="7">SQRT(BD89)</f>
        <v>5.5313255015401221E-2</v>
      </c>
      <c r="BF89" s="26">
        <f t="shared" ref="BF89:BF151" ca="1" si="8">BB89*$BB$18+BC89*$BE$18</f>
        <v>2.1884886517664268E-2</v>
      </c>
    </row>
    <row r="90" spans="54:58" x14ac:dyDescent="0.2">
      <c r="BB90" s="26">
        <v>0.35000000000000298</v>
      </c>
      <c r="BC90" s="13">
        <f t="shared" si="6"/>
        <v>0.64999999999999702</v>
      </c>
      <c r="BD90" s="12" cm="1">
        <f t="array" aca="1" ref="BD90" ca="1">BB90^2*$BB$16+BC90^2*$BE$16+2*BB90*BC90*MMULT(MMULT(TRANSPOSE(GMVPORT),COVMAT),ORP)</f>
        <v>3.2105510986507827E-3</v>
      </c>
      <c r="BE90" s="12">
        <f t="shared" ca="1" si="7"/>
        <v>5.6661725164795174E-2</v>
      </c>
      <c r="BF90" s="26">
        <f t="shared" ca="1" si="8"/>
        <v>2.2435439142505464E-2</v>
      </c>
    </row>
    <row r="91" spans="54:58" x14ac:dyDescent="0.2">
      <c r="BB91" s="26">
        <v>0.32500000000000295</v>
      </c>
      <c r="BC91" s="13">
        <f t="shared" si="6"/>
        <v>0.67499999999999705</v>
      </c>
      <c r="BD91" s="12" cm="1">
        <f t="array" aca="1" ref="BD91" ca="1">BB91^2*$BB$16+BC91^2*$BE$16+2*BB91*BC91*MMULT(MMULT(TRANSPOSE(GMVPORT),COVMAT),ORP)</f>
        <v>3.3674673862459721E-3</v>
      </c>
      <c r="BE91" s="12">
        <f t="shared" ca="1" si="7"/>
        <v>5.8029883562230003E-2</v>
      </c>
      <c r="BF91" s="26">
        <f t="shared" ca="1" si="8"/>
        <v>2.2985991767346659E-2</v>
      </c>
    </row>
    <row r="92" spans="54:58" x14ac:dyDescent="0.2">
      <c r="BB92" s="26">
        <v>0.30000000000000293</v>
      </c>
      <c r="BC92" s="13">
        <f t="shared" si="6"/>
        <v>0.69999999999999707</v>
      </c>
      <c r="BD92" s="12" cm="1">
        <f t="array" aca="1" ref="BD92" ca="1">BB92^2*$BB$16+BC92^2*$BE$16+2*BB92*BC92*MMULT(MMULT(TRANSPOSE(GMVPORT),COVMAT),ORP)</f>
        <v>3.5303050431843759E-3</v>
      </c>
      <c r="BE92" s="12">
        <f t="shared" ca="1" si="7"/>
        <v>5.9416370161634542E-2</v>
      </c>
      <c r="BF92" s="26">
        <f t="shared" ca="1" si="8"/>
        <v>2.3536544392187858E-2</v>
      </c>
    </row>
    <row r="93" spans="54:58" x14ac:dyDescent="0.2">
      <c r="BB93" s="26">
        <v>0.27500000000000291</v>
      </c>
      <c r="BC93" s="13">
        <f t="shared" si="6"/>
        <v>0.72499999999999709</v>
      </c>
      <c r="BD93" s="12" cm="1">
        <f t="array" aca="1" ref="BD93" ca="1">BB93^2*$BB$16+BC93^2*$BE$16+2*BB93*BC93*MMULT(MMULT(TRANSPOSE(GMVPORT),COVMAT),ORP)</f>
        <v>3.6990640694659948E-3</v>
      </c>
      <c r="BE93" s="12">
        <f t="shared" ca="1" si="7"/>
        <v>6.0819931514808488E-2</v>
      </c>
      <c r="BF93" s="26">
        <f t="shared" ca="1" si="8"/>
        <v>2.4087097017029054E-2</v>
      </c>
    </row>
    <row r="94" spans="54:58" x14ac:dyDescent="0.2">
      <c r="BB94" s="26">
        <v>0.25000000000000289</v>
      </c>
      <c r="BC94" s="13">
        <f t="shared" si="6"/>
        <v>0.74999999999999711</v>
      </c>
      <c r="BD94" s="12" cm="1">
        <f t="array" aca="1" ref="BD94" ca="1">BB94^2*$BB$16+BC94^2*$BE$16+2*BB94*BC94*MMULT(MMULT(TRANSPOSE(GMVPORT),COVMAT),ORP)</f>
        <v>3.873744465090828E-3</v>
      </c>
      <c r="BE94" s="12">
        <f t="shared" ca="1" si="7"/>
        <v>6.2239412473856372E-2</v>
      </c>
      <c r="BF94" s="26">
        <f t="shared" ca="1" si="8"/>
        <v>2.4637649641870246E-2</v>
      </c>
    </row>
    <row r="95" spans="54:58" x14ac:dyDescent="0.2">
      <c r="BB95" s="26">
        <v>0.22500000000000289</v>
      </c>
      <c r="BC95" s="13">
        <f t="shared" si="6"/>
        <v>0.77499999999999714</v>
      </c>
      <c r="BD95" s="12" cm="1">
        <f t="array" aca="1" ref="BD95" ca="1">BB95^2*$BB$16+BC95^2*$BE$16+2*BB95*BC95*MMULT(MMULT(TRANSPOSE(GMVPORT),COVMAT),ORP)</f>
        <v>4.0543462300588759E-3</v>
      </c>
      <c r="BE95" s="12">
        <f t="shared" ca="1" si="7"/>
        <v>6.3673748358792859E-2</v>
      </c>
      <c r="BF95" s="26">
        <f t="shared" ca="1" si="8"/>
        <v>2.5188202266711444E-2</v>
      </c>
    </row>
    <row r="96" spans="54:58" x14ac:dyDescent="0.2">
      <c r="BB96" s="26">
        <v>0.2000000000000029</v>
      </c>
      <c r="BC96" s="13">
        <f t="shared" si="6"/>
        <v>0.79999999999999716</v>
      </c>
      <c r="BD96" s="12" cm="1">
        <f t="array" aca="1" ref="BD96" ca="1">BB96^2*$BB$16+BC96^2*$BE$16+2*BB96*BC96*MMULT(MMULT(TRANSPOSE(GMVPORT),COVMAT),ORP)</f>
        <v>4.2408693643701386E-3</v>
      </c>
      <c r="BE96" s="12">
        <f t="shared" ca="1" si="7"/>
        <v>6.5121957620837376E-2</v>
      </c>
      <c r="BF96" s="26">
        <f t="shared" ca="1" si="8"/>
        <v>2.573875489155264E-2</v>
      </c>
    </row>
    <row r="97" spans="54:58" x14ac:dyDescent="0.2">
      <c r="BB97" s="26">
        <v>0.1750000000000029</v>
      </c>
      <c r="BC97" s="13">
        <f t="shared" si="6"/>
        <v>0.82499999999999707</v>
      </c>
      <c r="BD97" s="12" cm="1">
        <f t="array" aca="1" ref="BD97" ca="1">BB97^2*$BB$16+BC97^2*$BE$16+2*BB97*BC97*MMULT(MMULT(TRANSPOSE(GMVPORT),COVMAT),ORP)</f>
        <v>4.4333138680246152E-3</v>
      </c>
      <c r="BE97" s="12">
        <f t="shared" ca="1" si="7"/>
        <v>6.6583135011987954E-2</v>
      </c>
      <c r="BF97" s="26">
        <f t="shared" ca="1" si="8"/>
        <v>2.6289307516393832E-2</v>
      </c>
    </row>
    <row r="98" spans="54:58" x14ac:dyDescent="0.2">
      <c r="BB98" s="26">
        <v>0.15000000000000291</v>
      </c>
      <c r="BC98" s="13">
        <f t="shared" si="6"/>
        <v>0.84999999999999709</v>
      </c>
      <c r="BD98" s="12" cm="1">
        <f t="array" aca="1" ref="BD98" ca="1">BB98^2*$BB$16+BC98^2*$BE$16+2*BB98*BC98*MMULT(MMULT(TRANSPOSE(GMVPORT),COVMAT),ORP)</f>
        <v>4.6316797410223074E-3</v>
      </c>
      <c r="BE98" s="12">
        <f t="shared" ca="1" si="7"/>
        <v>6.805644525702402E-2</v>
      </c>
      <c r="BF98" s="26">
        <f t="shared" ca="1" si="8"/>
        <v>2.6839860141235031E-2</v>
      </c>
    </row>
    <row r="99" spans="54:58" x14ac:dyDescent="0.2">
      <c r="BB99" s="26">
        <v>0.12500000000000291</v>
      </c>
      <c r="BC99" s="13">
        <f t="shared" si="6"/>
        <v>0.87499999999999711</v>
      </c>
      <c r="BD99" s="12" cm="1">
        <f t="array" aca="1" ref="BD99" ca="1">BB99^2*$BB$16+BC99^2*$BE$16+2*BB99*BC99*MMULT(MMULT(TRANSPOSE(GMVPORT),COVMAT),ORP)</f>
        <v>4.8359669833632143E-3</v>
      </c>
      <c r="BE99" s="12">
        <f t="shared" ca="1" si="7"/>
        <v>6.9541117213941961E-2</v>
      </c>
      <c r="BF99" s="26">
        <f t="shared" ca="1" si="8"/>
        <v>2.7390412766076226E-2</v>
      </c>
    </row>
    <row r="100" spans="54:58" x14ac:dyDescent="0.2">
      <c r="BB100" s="26">
        <v>0.10000000000000292</v>
      </c>
      <c r="BC100" s="13">
        <f t="shared" si="6"/>
        <v>0.89999999999999702</v>
      </c>
      <c r="BD100" s="12" cm="1">
        <f t="array" aca="1" ref="BD100" ca="1">BB100^2*$BB$16+BC100^2*$BE$16+2*BB100*BC100*MMULT(MMULT(TRANSPOSE(GMVPORT),COVMAT),ORP)</f>
        <v>5.0461755950473352E-3</v>
      </c>
      <c r="BE100" s="12">
        <f t="shared" ca="1" si="7"/>
        <v>7.1036438501992302E-2</v>
      </c>
      <c r="BF100" s="26">
        <f t="shared" ca="1" si="8"/>
        <v>2.7940965390917418E-2</v>
      </c>
    </row>
    <row r="101" spans="54:58" x14ac:dyDescent="0.2">
      <c r="BB101" s="26">
        <v>7.5000000000002925E-2</v>
      </c>
      <c r="BC101" s="13">
        <f t="shared" si="6"/>
        <v>0.92499999999999705</v>
      </c>
      <c r="BD101" s="12" cm="1">
        <f t="array" aca="1" ref="BD101" ca="1">BB101^2*$BB$16+BC101^2*$BE$16+2*BB101*BC101*MMULT(MMULT(TRANSPOSE(GMVPORT),COVMAT),ORP)</f>
        <v>5.2623055760746707E-3</v>
      </c>
      <c r="BE101" s="12">
        <f t="shared" ca="1" si="7"/>
        <v>7.2541750572168232E-2</v>
      </c>
      <c r="BF101" s="26">
        <f t="shared" ca="1" si="8"/>
        <v>2.8491518015758614E-2</v>
      </c>
    </row>
    <row r="102" spans="54:58" x14ac:dyDescent="0.2">
      <c r="BB102" s="26">
        <v>5.0000000000002924E-2</v>
      </c>
      <c r="BC102" s="13">
        <f t="shared" si="6"/>
        <v>0.94999999999999707</v>
      </c>
      <c r="BD102" s="12" cm="1">
        <f t="array" aca="1" ref="BD102" ca="1">BB102^2*$BB$16+BC102^2*$BE$16+2*BB102*BC102*MMULT(MMULT(TRANSPOSE(GMVPORT),COVMAT),ORP)</f>
        <v>5.4843569264452219E-3</v>
      </c>
      <c r="BE102" s="12">
        <f t="shared" ca="1" si="7"/>
        <v>7.4056444192556414E-2</v>
      </c>
      <c r="BF102" s="26">
        <f t="shared" ca="1" si="8"/>
        <v>2.9042070640599809E-2</v>
      </c>
    </row>
    <row r="103" spans="54:58" x14ac:dyDescent="0.2">
      <c r="BB103" s="26">
        <v>2.5000000000002923E-2</v>
      </c>
      <c r="BC103" s="13">
        <f t="shared" si="6"/>
        <v>0.97499999999999709</v>
      </c>
      <c r="BD103" s="12" cm="1">
        <f t="array" aca="1" ref="BD103" ca="1">BB103^2*$BB$16+BC103^2*$BE$16+2*BB103*BC103*MMULT(MMULT(TRANSPOSE(GMVPORT),COVMAT),ORP)</f>
        <v>5.7123296461589869E-3</v>
      </c>
      <c r="BE103" s="12">
        <f t="shared" ca="1" si="7"/>
        <v>7.5579955319905995E-2</v>
      </c>
      <c r="BF103" s="26">
        <f t="shared" ca="1" si="8"/>
        <v>2.9592623265441004E-2</v>
      </c>
    </row>
    <row r="104" spans="54:58" x14ac:dyDescent="0.2">
      <c r="BB104" s="26">
        <v>2.9212743335449431E-15</v>
      </c>
      <c r="BC104" s="13">
        <f t="shared" si="6"/>
        <v>0.99999999999999711</v>
      </c>
      <c r="BD104" s="12" cm="1">
        <f t="array" aca="1" ref="BD104" ca="1">BB104^2*$BB$16+BC104^2*$BE$16+2*BB104*BC104*MMULT(MMULT(TRANSPOSE(GMVPORT),COVMAT),ORP)</f>
        <v>5.9462237352159676E-3</v>
      </c>
      <c r="BE104" s="12">
        <f t="shared" ca="1" si="7"/>
        <v>7.7111761328710213E-2</v>
      </c>
      <c r="BF104" s="26">
        <f t="shared" ca="1" si="8"/>
        <v>3.0143175890282203E-2</v>
      </c>
    </row>
    <row r="105" spans="54:58" x14ac:dyDescent="0.2">
      <c r="BB105" s="26">
        <v>-2.499999999999708E-2</v>
      </c>
      <c r="BC105" s="13">
        <f t="shared" si="6"/>
        <v>1.024999999999997</v>
      </c>
      <c r="BD105" s="12" cm="1">
        <f t="array" aca="1" ref="BD105" ca="1">BB105^2*$BB$16+BC105^2*$BE$16+2*BB105*BC105*MMULT(MMULT(TRANSPOSE(GMVPORT),COVMAT),ORP)</f>
        <v>6.1860391936161621E-3</v>
      </c>
      <c r="BE105" s="12">
        <f t="shared" ca="1" si="7"/>
        <v>7.8651377569729591E-2</v>
      </c>
      <c r="BF105" s="26">
        <f t="shared" ca="1" si="8"/>
        <v>3.0693728515123395E-2</v>
      </c>
    </row>
    <row r="106" spans="54:58" x14ac:dyDescent="0.2">
      <c r="BB106" s="26">
        <v>-4.9999999999997082E-2</v>
      </c>
      <c r="BC106" s="13">
        <f t="shared" si="6"/>
        <v>1.0499999999999972</v>
      </c>
      <c r="BD106" s="12" cm="1">
        <f t="array" aca="1" ref="BD106" ca="1">BB106^2*$BB$16+BC106^2*$BE$16+2*BB106*BC106*MMULT(MMULT(TRANSPOSE(GMVPORT),COVMAT),ORP)</f>
        <v>6.4317760213595731E-3</v>
      </c>
      <c r="BE106" s="12">
        <f t="shared" ca="1" si="7"/>
        <v>8.0198354230991378E-2</v>
      </c>
      <c r="BF106" s="26">
        <f t="shared" ca="1" si="8"/>
        <v>3.1244281139964594E-2</v>
      </c>
    </row>
    <row r="107" spans="54:58" x14ac:dyDescent="0.2">
      <c r="BB107" s="26">
        <v>-7.4999999999997083E-2</v>
      </c>
      <c r="BC107" s="13">
        <f t="shared" si="6"/>
        <v>1.0749999999999971</v>
      </c>
      <c r="BD107" s="12" cm="1">
        <f t="array" aca="1" ref="BD107" ca="1">BB107^2*$BB$16+BC107^2*$BE$16+2*BB107*BC107*MMULT(MMULT(TRANSPOSE(GMVPORT),COVMAT),ORP)</f>
        <v>6.6834342184461954E-3</v>
      </c>
      <c r="BE107" s="12">
        <f t="shared" ca="1" si="7"/>
        <v>8.175227347570338E-2</v>
      </c>
      <c r="BF107" s="26">
        <f t="shared" ca="1" si="8"/>
        <v>3.179483376480579E-2</v>
      </c>
    </row>
    <row r="108" spans="54:58" x14ac:dyDescent="0.2">
      <c r="BB108" s="26">
        <v>-9.9999999999997091E-2</v>
      </c>
      <c r="BC108" s="13">
        <f t="shared" si="6"/>
        <v>1.099999999999997</v>
      </c>
      <c r="BD108" s="12" cm="1">
        <f t="array" aca="1" ref="BD108" ca="1">BB108^2*$BB$16+BC108^2*$BE$16+2*BB108*BC108*MMULT(MMULT(TRANSPOSE(GMVPORT),COVMAT),ORP)</f>
        <v>6.9410137848760333E-3</v>
      </c>
      <c r="BE108" s="12">
        <f t="shared" ca="1" si="7"/>
        <v>8.3312746833098916E-2</v>
      </c>
      <c r="BF108" s="26">
        <f t="shared" ca="1" si="8"/>
        <v>3.2345386389646978E-2</v>
      </c>
    </row>
    <row r="109" spans="54:58" x14ac:dyDescent="0.2">
      <c r="BB109" s="26">
        <v>-0.12499999999999709</v>
      </c>
      <c r="BC109" s="13">
        <f t="shared" si="6"/>
        <v>1.1249999999999971</v>
      </c>
      <c r="BD109" s="12" cm="1">
        <f t="array" aca="1" ref="BD109" ca="1">BB109^2*$BB$16+BC109^2*$BE$16+2*BB109*BC109*MMULT(MMULT(TRANSPOSE(GMVPORT),COVMAT),ORP)</f>
        <v>7.2045147206490894E-3</v>
      </c>
      <c r="BE109" s="12">
        <f t="shared" ca="1" si="7"/>
        <v>8.4879412819888714E-2</v>
      </c>
      <c r="BF109" s="26">
        <f t="shared" ca="1" si="8"/>
        <v>3.2895939014488181E-2</v>
      </c>
    </row>
    <row r="110" spans="54:58" x14ac:dyDescent="0.2">
      <c r="BB110" s="26">
        <v>-0.14999999999999708</v>
      </c>
      <c r="BC110" s="13">
        <f t="shared" si="6"/>
        <v>1.149999999999997</v>
      </c>
      <c r="BD110" s="12" cm="1">
        <f t="array" aca="1" ref="BD110" ca="1">BB110^2*$BB$16+BC110^2*$BE$16+2*BB110*BC110*MMULT(MMULT(TRANSPOSE(GMVPORT),COVMAT),ORP)</f>
        <v>7.4739370257653559E-3</v>
      </c>
      <c r="BE110" s="12">
        <f t="shared" ca="1" si="7"/>
        <v>8.6451934771671568E-2</v>
      </c>
      <c r="BF110" s="26">
        <f t="shared" ca="1" si="8"/>
        <v>3.3446491639329369E-2</v>
      </c>
    </row>
    <row r="111" spans="54:58" x14ac:dyDescent="0.2">
      <c r="BB111" s="26">
        <v>-0.17499999999999707</v>
      </c>
      <c r="BC111" s="13">
        <f t="shared" si="6"/>
        <v>1.1749999999999972</v>
      </c>
      <c r="BD111" s="12" cm="1">
        <f t="array" aca="1" ref="BD111" ca="1">BB111^2*$BB$16+BC111^2*$BE$16+2*BB111*BC111*MMULT(MMULT(TRANSPOSE(GMVPORT),COVMAT),ORP)</f>
        <v>7.7492807002248424E-3</v>
      </c>
      <c r="BE111" s="12">
        <f t="shared" ca="1" si="7"/>
        <v>8.8029998865300704E-2</v>
      </c>
      <c r="BF111" s="26">
        <f t="shared" ca="1" si="8"/>
        <v>3.3997044264170571E-2</v>
      </c>
    </row>
    <row r="112" spans="54:58" x14ac:dyDescent="0.2">
      <c r="BB112" s="26">
        <v>-0.19999999999999707</v>
      </c>
      <c r="BC112" s="13">
        <f t="shared" si="6"/>
        <v>1.1999999999999971</v>
      </c>
      <c r="BD112" s="12" cm="1">
        <f t="array" aca="1" ref="BD112" ca="1">BB112^2*$BB$16+BC112^2*$BE$16+2*BB112*BC112*MMULT(MMULT(TRANSPOSE(GMVPORT),COVMAT),ORP)</f>
        <v>8.0305457440275375E-3</v>
      </c>
      <c r="BE112" s="12">
        <f t="shared" ca="1" si="7"/>
        <v>8.9613312314786905E-2</v>
      </c>
      <c r="BF112" s="26">
        <f t="shared" ca="1" si="8"/>
        <v>3.4547596889011767E-2</v>
      </c>
    </row>
    <row r="113" spans="54:58" x14ac:dyDescent="0.2">
      <c r="BB113" s="26">
        <v>-0.22499999999999706</v>
      </c>
      <c r="BC113" s="13">
        <f t="shared" si="6"/>
        <v>1.224999999999997</v>
      </c>
      <c r="BD113" s="12" cm="1">
        <f t="array" aca="1" ref="BD113" ca="1">BB113^2*$BB$16+BC113^2*$BE$16+2*BB113*BC113*MMULT(MMULT(TRANSPOSE(GMVPORT),COVMAT),ORP)</f>
        <v>8.3177321571734492E-3</v>
      </c>
      <c r="BE113" s="12">
        <f t="shared" ca="1" si="7"/>
        <v>9.1201601724824166E-2</v>
      </c>
      <c r="BF113" s="26">
        <f t="shared" ca="1" si="8"/>
        <v>3.5098149513852955E-2</v>
      </c>
    </row>
    <row r="114" spans="54:58" x14ac:dyDescent="0.2">
      <c r="BB114" s="26">
        <v>-0.24999999999999706</v>
      </c>
      <c r="BC114" s="13">
        <f t="shared" si="6"/>
        <v>1.2499999999999971</v>
      </c>
      <c r="BD114" s="12" cm="1">
        <f t="array" aca="1" ref="BD114" ca="1">BB114^2*$BB$16+BC114^2*$BE$16+2*BB114*BC114*MMULT(MMULT(TRANSPOSE(GMVPORT),COVMAT),ORP)</f>
        <v>8.610839939662579E-3</v>
      </c>
      <c r="BE114" s="12">
        <f t="shared" ca="1" si="7"/>
        <v>9.2794611587433129E-2</v>
      </c>
      <c r="BF114" s="26">
        <f t="shared" ca="1" si="8"/>
        <v>3.5648702138694158E-2</v>
      </c>
    </row>
    <row r="115" spans="54:58" x14ac:dyDescent="0.2">
      <c r="BB115" s="26">
        <v>-0.27499999999999708</v>
      </c>
      <c r="BC115" s="13">
        <f t="shared" si="6"/>
        <v>1.274999999999997</v>
      </c>
      <c r="BD115" s="12" cm="1">
        <f t="array" aca="1" ref="BD115" ca="1">BB115^2*$BB$16+BC115^2*$BE$16+2*BB115*BC115*MMULT(MMULT(TRANSPOSE(GMVPORT),COVMAT),ORP)</f>
        <v>8.9098690914949184E-3</v>
      </c>
      <c r="BE115" s="12">
        <f t="shared" ca="1" si="7"/>
        <v>9.4392102908532116E-2</v>
      </c>
      <c r="BF115" s="26">
        <f t="shared" ca="1" si="8"/>
        <v>3.6199254763535346E-2</v>
      </c>
    </row>
    <row r="116" spans="54:58" x14ac:dyDescent="0.2">
      <c r="BB116" s="26">
        <v>-0.2999999999999971</v>
      </c>
      <c r="BC116" s="13">
        <f t="shared" si="6"/>
        <v>1.2999999999999972</v>
      </c>
      <c r="BD116" s="12" cm="1">
        <f t="array" aca="1" ref="BD116" ca="1">BB116^2*$BB$16+BC116^2*$BE$16+2*BB116*BC116*MMULT(MMULT(TRANSPOSE(GMVPORT),COVMAT),ORP)</f>
        <v>9.2148196126704777E-3</v>
      </c>
      <c r="BE116" s="12">
        <f t="shared" ca="1" si="7"/>
        <v>9.599385195245827E-2</v>
      </c>
      <c r="BF116" s="26">
        <f t="shared" ca="1" si="8"/>
        <v>3.6749807388376549E-2</v>
      </c>
    </row>
    <row r="117" spans="54:58" x14ac:dyDescent="0.2">
      <c r="BB117" s="26">
        <v>-0.32499999999999712</v>
      </c>
      <c r="BC117" s="13">
        <f t="shared" si="6"/>
        <v>1.3249999999999971</v>
      </c>
      <c r="BD117" s="12" cm="1">
        <f t="array" aca="1" ref="BD117" ca="1">BB117^2*$BB$16+BC117^2*$BE$16+2*BB117*BC117*MMULT(MMULT(TRANSPOSE(GMVPORT),COVMAT),ORP)</f>
        <v>9.5256915031892483E-3</v>
      </c>
      <c r="BE117" s="12">
        <f t="shared" ca="1" si="7"/>
        <v>9.7599649093576393E-2</v>
      </c>
      <c r="BF117" s="26">
        <f t="shared" ca="1" si="8"/>
        <v>3.7300360013217744E-2</v>
      </c>
    </row>
    <row r="118" spans="54:58" x14ac:dyDescent="0.2">
      <c r="BB118" s="26">
        <v>-0.34999999999999715</v>
      </c>
      <c r="BC118" s="13">
        <f t="shared" si="6"/>
        <v>1.3499999999999972</v>
      </c>
      <c r="BD118" s="12" cm="1">
        <f t="array" aca="1" ref="BD118" ca="1">BB118^2*$BB$16+BC118^2*$BE$16+2*BB118*BC118*MMULT(MMULT(TRANSPOSE(GMVPORT),COVMAT),ORP)</f>
        <v>9.8424847630512336E-3</v>
      </c>
      <c r="BE118" s="12">
        <f t="shared" ca="1" si="7"/>
        <v>9.9209297765135068E-2</v>
      </c>
      <c r="BF118" s="26">
        <f t="shared" ca="1" si="8"/>
        <v>3.7850912638058939E-2</v>
      </c>
    </row>
    <row r="119" spans="54:58" x14ac:dyDescent="0.2">
      <c r="BB119" s="26">
        <v>-0.37499999999999717</v>
      </c>
      <c r="BC119" s="13">
        <f t="shared" si="6"/>
        <v>1.3749999999999971</v>
      </c>
      <c r="BD119" s="12" cm="1">
        <f t="array" aca="1" ref="BD119" ca="1">BB119^2*$BB$16+BC119^2*$BE$16+2*BB119*BC119*MMULT(MMULT(TRANSPOSE(GMVPORT),COVMAT),ORP)</f>
        <v>1.0165199392256434E-2</v>
      </c>
      <c r="BE119" s="12">
        <f t="shared" ca="1" si="7"/>
        <v>0.10082261349645938</v>
      </c>
      <c r="BF119" s="26">
        <f t="shared" ca="1" si="8"/>
        <v>3.8401465262900135E-2</v>
      </c>
    </row>
    <row r="120" spans="54:58" x14ac:dyDescent="0.2">
      <c r="BB120" s="26">
        <v>-0.39999999999999719</v>
      </c>
      <c r="BC120" s="13">
        <f t="shared" si="6"/>
        <v>1.3999999999999972</v>
      </c>
      <c r="BD120" s="12" cm="1">
        <f t="array" aca="1" ref="BD120" ca="1">BB120^2*$BB$16+BC120^2*$BE$16+2*BB120*BC120*MMULT(MMULT(TRANSPOSE(GMVPORT),COVMAT),ORP)</f>
        <v>1.0493835390804852E-2</v>
      </c>
      <c r="BE120" s="12">
        <f t="shared" ca="1" si="7"/>
        <v>0.1024394230304176</v>
      </c>
      <c r="BF120" s="26">
        <f t="shared" ca="1" si="8"/>
        <v>3.895201788774133E-2</v>
      </c>
    </row>
    <row r="121" spans="54:58" x14ac:dyDescent="0.2">
      <c r="BB121" s="26">
        <v>-0.42499999999999721</v>
      </c>
      <c r="BC121" s="13">
        <f t="shared" si="6"/>
        <v>1.4249999999999972</v>
      </c>
      <c r="BD121" s="12" cm="1">
        <f t="array" aca="1" ref="BD121" ca="1">BB121^2*$BB$16+BC121^2*$BE$16+2*BB121*BC121*MMULT(MMULT(TRANSPOSE(GMVPORT),COVMAT),ORP)</f>
        <v>1.0828392758696478E-2</v>
      </c>
      <c r="BE121" s="12">
        <f t="shared" ca="1" si="7"/>
        <v>0.1040595635138668</v>
      </c>
      <c r="BF121" s="26">
        <f t="shared" ca="1" si="8"/>
        <v>3.9502570512582526E-2</v>
      </c>
    </row>
    <row r="122" spans="54:58" x14ac:dyDescent="0.2">
      <c r="BB122" s="26">
        <v>-0.44999999999999724</v>
      </c>
      <c r="BC122" s="13">
        <f t="shared" si="6"/>
        <v>1.4499999999999973</v>
      </c>
      <c r="BD122" s="12" cm="1">
        <f t="array" aca="1" ref="BD122" ca="1">BB122^2*$BB$16+BC122^2*$BE$16+2*BB122*BC122*MMULT(MMULT(TRANSPOSE(GMVPORT),COVMAT),ORP)</f>
        <v>1.1168871495931326E-2</v>
      </c>
      <c r="BE122" s="12">
        <f t="shared" ca="1" si="7"/>
        <v>0.10568288175447964</v>
      </c>
      <c r="BF122" s="26">
        <f t="shared" ca="1" si="8"/>
        <v>4.0053123137423721E-2</v>
      </c>
    </row>
    <row r="123" spans="54:58" x14ac:dyDescent="0.2">
      <c r="BB123" s="26">
        <v>-0.47499999999999726</v>
      </c>
      <c r="BC123" s="13">
        <f t="shared" si="6"/>
        <v>1.4749999999999972</v>
      </c>
      <c r="BD123" s="12" cm="1">
        <f t="array" aca="1" ref="BD123" ca="1">BB123^2*$BB$16+BC123^2*$BE$16+2*BB123*BC123*MMULT(MMULT(TRANSPOSE(GMVPORT),COVMAT),ORP)</f>
        <v>1.1515271602509383E-2</v>
      </c>
      <c r="BE123" s="12">
        <f t="shared" ca="1" si="7"/>
        <v>0.10730923353798304</v>
      </c>
      <c r="BF123" s="26">
        <f t="shared" ca="1" si="8"/>
        <v>4.0603675762264924E-2</v>
      </c>
    </row>
    <row r="124" spans="54:58" x14ac:dyDescent="0.2">
      <c r="BB124" s="26">
        <v>-0.49999999999999728</v>
      </c>
      <c r="BC124" s="13">
        <f t="shared" si="6"/>
        <v>1.4999999999999973</v>
      </c>
      <c r="BD124" s="12" cm="1">
        <f t="array" aca="1" ref="BD124" ca="1">BB124^2*$BB$16+BC124^2*$BE$16+2*BB124*BC124*MMULT(MMULT(TRANSPOSE(GMVPORT),COVMAT),ORP)</f>
        <v>1.186759307843066E-2</v>
      </c>
      <c r="BE124" s="12">
        <f t="shared" ca="1" si="7"/>
        <v>0.10893848300041019</v>
      </c>
      <c r="BF124" s="26">
        <f t="shared" ca="1" si="8"/>
        <v>4.1154228387106119E-2</v>
      </c>
    </row>
    <row r="125" spans="54:58" x14ac:dyDescent="0.2">
      <c r="BB125" s="26">
        <v>-0.52499999999999725</v>
      </c>
      <c r="BC125" s="13">
        <f t="shared" si="6"/>
        <v>1.5249999999999972</v>
      </c>
      <c r="BD125" s="12" cm="1">
        <f t="array" aca="1" ref="BD125" ca="1">BB125^2*$BB$16+BC125^2*$BE$16+2*BB125*BC125*MMULT(MMULT(TRANSPOSE(GMVPORT),COVMAT),ORP)</f>
        <v>1.2225835923695147E-2</v>
      </c>
      <c r="BE125" s="12">
        <f t="shared" ca="1" si="7"/>
        <v>0.11057050205047975</v>
      </c>
      <c r="BF125" s="26">
        <f t="shared" ca="1" si="8"/>
        <v>4.1704781011947308E-2</v>
      </c>
    </row>
    <row r="126" spans="54:58" x14ac:dyDescent="0.2">
      <c r="BB126" s="26">
        <v>-0.54999999999999727</v>
      </c>
      <c r="BC126" s="13">
        <f t="shared" si="6"/>
        <v>1.5499999999999972</v>
      </c>
      <c r="BD126" s="12" cm="1">
        <f t="array" aca="1" ref="BD126" ca="1">BB126^2*$BB$16+BC126^2*$BE$16+2*BB126*BC126*MMULT(MMULT(TRANSPOSE(GMVPORT),COVMAT),ORP)</f>
        <v>1.2590000138302849E-2</v>
      </c>
      <c r="BE126" s="12">
        <f t="shared" ca="1" si="7"/>
        <v>0.11220516983768104</v>
      </c>
      <c r="BF126" s="26">
        <f t="shared" ca="1" si="8"/>
        <v>4.2255333636788503E-2</v>
      </c>
    </row>
    <row r="127" spans="54:58" x14ac:dyDescent="0.2">
      <c r="BB127" s="26">
        <v>-0.57499999999999729</v>
      </c>
      <c r="BC127" s="13">
        <f t="shared" si="6"/>
        <v>1.5749999999999973</v>
      </c>
      <c r="BD127" s="12" cm="1">
        <f t="array" aca="1" ref="BD127" ca="1">BB127^2*$BB$16+BC127^2*$BE$16+2*BB127*BC127*MMULT(MMULT(TRANSPOSE(GMVPORT),COVMAT),ORP)</f>
        <v>1.2960085722253772E-2</v>
      </c>
      <c r="BE127" s="12">
        <f t="shared" ca="1" si="7"/>
        <v>0.11384237226206143</v>
      </c>
      <c r="BF127" s="26">
        <f t="shared" ca="1" si="8"/>
        <v>4.2805886261629698E-2</v>
      </c>
    </row>
    <row r="128" spans="54:58" x14ac:dyDescent="0.2">
      <c r="BB128" s="26">
        <v>-0.59999999999999731</v>
      </c>
      <c r="BC128" s="13">
        <f t="shared" si="6"/>
        <v>1.5999999999999974</v>
      </c>
      <c r="BD128" s="12" cm="1">
        <f t="array" aca="1" ref="BD128" ca="1">BB128^2*$BB$16+BC128^2*$BE$16+2*BB128*BC128*MMULT(MMULT(TRANSPOSE(GMVPORT),COVMAT),ORP)</f>
        <v>1.3336092675547905E-2</v>
      </c>
      <c r="BE128" s="12">
        <f t="shared" ca="1" si="7"/>
        <v>0.11548200152208959</v>
      </c>
      <c r="BF128" s="26">
        <f t="shared" ca="1" si="8"/>
        <v>4.3356438886470901E-2</v>
      </c>
    </row>
    <row r="129" spans="54:74" x14ac:dyDescent="0.2">
      <c r="BB129" s="26">
        <v>-0.62499999999999734</v>
      </c>
      <c r="BC129" s="13">
        <f t="shared" si="6"/>
        <v>1.6249999999999973</v>
      </c>
      <c r="BD129" s="12" cm="1">
        <f t="array" aca="1" ref="BD129" ca="1">BB129^2*$BB$16+BC129^2*$BE$16+2*BB129*BC129*MMULT(MMULT(TRANSPOSE(GMVPORT),COVMAT),ORP)</f>
        <v>1.3718020998185256E-2</v>
      </c>
      <c r="BE129" s="12">
        <f t="shared" ca="1" si="7"/>
        <v>0.11712395569730923</v>
      </c>
      <c r="BF129" s="26">
        <f t="shared" ca="1" si="8"/>
        <v>4.3906991511312096E-2</v>
      </c>
    </row>
    <row r="130" spans="54:74" x14ac:dyDescent="0.2">
      <c r="BB130" s="26">
        <v>-0.64999999999999736</v>
      </c>
      <c r="BC130" s="13">
        <f t="shared" si="6"/>
        <v>1.6499999999999972</v>
      </c>
      <c r="BD130" s="12" cm="1">
        <f t="array" aca="1" ref="BD130" ca="1">BB130^2*$BB$16+BC130^2*$BE$16+2*BB130*BC130*MMULT(MMULT(TRANSPOSE(GMVPORT),COVMAT),ORP)</f>
        <v>1.4105870690165813E-2</v>
      </c>
      <c r="BE130" s="12">
        <f t="shared" ca="1" si="7"/>
        <v>0.11876813836280256</v>
      </c>
      <c r="BF130" s="26">
        <f t="shared" ca="1" si="8"/>
        <v>4.4457544136153285E-2</v>
      </c>
    </row>
    <row r="131" spans="54:74" x14ac:dyDescent="0.2">
      <c r="BB131" s="26">
        <v>-0.67499999999999738</v>
      </c>
      <c r="BC131" s="13">
        <f t="shared" si="6"/>
        <v>1.6749999999999974</v>
      </c>
      <c r="BD131" s="12" cm="1">
        <f t="array" aca="1" ref="BD131" ca="1">BB131^2*$BB$16+BC131^2*$BE$16+2*BB131*BC131*MMULT(MMULT(TRANSPOSE(GMVPORT),COVMAT),ORP)</f>
        <v>1.449964175148959E-2</v>
      </c>
      <c r="BE131" s="12">
        <f t="shared" ca="1" si="7"/>
        <v>0.12041445823276202</v>
      </c>
      <c r="BF131" s="26">
        <f t="shared" ca="1" si="8"/>
        <v>4.5008096760994487E-2</v>
      </c>
    </row>
    <row r="132" spans="54:74" x14ac:dyDescent="0.2">
      <c r="BB132" s="26">
        <v>-0.6999999999999974</v>
      </c>
      <c r="BC132" s="13">
        <f t="shared" si="6"/>
        <v>1.6999999999999975</v>
      </c>
      <c r="BD132" s="12" cm="1">
        <f t="array" aca="1" ref="BD132" ca="1">BB132^2*$BB$16+BC132^2*$BE$16+2*BB132*BC132*MMULT(MMULT(TRANSPOSE(GMVPORT),COVMAT),ORP)</f>
        <v>1.4899334182156585E-2</v>
      </c>
      <c r="BE132" s="12">
        <f t="shared" ca="1" si="7"/>
        <v>0.12206282883071563</v>
      </c>
      <c r="BF132" s="26">
        <f t="shared" ca="1" si="8"/>
        <v>4.5558649385835683E-2</v>
      </c>
    </row>
    <row r="133" spans="54:74" x14ac:dyDescent="0.2">
      <c r="BB133" s="26">
        <v>-0.72499999999999742</v>
      </c>
      <c r="BC133" s="13">
        <f t="shared" si="6"/>
        <v>1.7249999999999974</v>
      </c>
      <c r="BD133" s="12" cm="1">
        <f t="array" aca="1" ref="BD133" ca="1">BB133^2*$BB$16+BC133^2*$BE$16+2*BB133*BC133*MMULT(MMULT(TRANSPOSE(GMVPORT),COVMAT),ORP)</f>
        <v>1.5304947982166793E-2</v>
      </c>
      <c r="BE133" s="12">
        <f t="shared" ca="1" si="7"/>
        <v>0.12371316818417832</v>
      </c>
      <c r="BF133" s="26">
        <f t="shared" ca="1" si="8"/>
        <v>4.6109202010676878E-2</v>
      </c>
    </row>
    <row r="134" spans="54:74" x14ac:dyDescent="0.2">
      <c r="BB134" s="26">
        <v>-0.74999999999999745</v>
      </c>
      <c r="BC134" s="13">
        <f t="shared" si="6"/>
        <v>1.7499999999999973</v>
      </c>
      <c r="BD134" s="12" cm="1">
        <f t="array" aca="1" ref="BD134" ca="1">BB134^2*$BB$16+BC134^2*$BE$16+2*BB134*BC134*MMULT(MMULT(TRANSPOSE(GMVPORT),COVMAT),ORP)</f>
        <v>1.5716483151520213E-2</v>
      </c>
      <c r="BE134" s="12">
        <f t="shared" ca="1" si="7"/>
        <v>0.12536539854170373</v>
      </c>
      <c r="BF134" s="26">
        <f t="shared" ca="1" si="8"/>
        <v>4.6659754635518066E-2</v>
      </c>
    </row>
    <row r="135" spans="54:74" x14ac:dyDescent="0.2">
      <c r="BB135" s="26">
        <v>-0.77499999999999747</v>
      </c>
      <c r="BC135" s="13">
        <f t="shared" si="6"/>
        <v>1.7749999999999975</v>
      </c>
      <c r="BD135" s="12" cm="1">
        <f t="array" aca="1" ref="BD135" ca="1">BB135^2*$BB$16+BC135^2*$BE$16+2*BB135*BC135*MMULT(MMULT(TRANSPOSE(GMVPORT),COVMAT),ORP)</f>
        <v>1.6133939690216849E-2</v>
      </c>
      <c r="BE135" s="12">
        <f t="shared" ca="1" si="7"/>
        <v>0.12701944611049462</v>
      </c>
      <c r="BF135" s="26">
        <f t="shared" ca="1" si="8"/>
        <v>4.7210307260359269E-2</v>
      </c>
      <c r="BS135" t="s">
        <v>157</v>
      </c>
      <c r="BT135" t="s">
        <v>158</v>
      </c>
      <c r="BU135" t="s">
        <v>159</v>
      </c>
      <c r="BV135" t="s">
        <v>160</v>
      </c>
    </row>
    <row r="136" spans="54:74" x14ac:dyDescent="0.2">
      <c r="BB136" s="26">
        <v>-0.79999999999999749</v>
      </c>
      <c r="BC136" s="13">
        <f t="shared" si="6"/>
        <v>1.7999999999999976</v>
      </c>
      <c r="BD136" s="12" cm="1">
        <f t="array" aca="1" ref="BD136" ca="1">BB136^2*$BB$16+BC136^2*$BE$16+2*BB136*BC136*MMULT(MMULT(TRANSPOSE(GMVPORT),COVMAT),ORP)</f>
        <v>1.6557317598256703E-2</v>
      </c>
      <c r="BE136" s="12">
        <f t="shared" ca="1" si="7"/>
        <v>0.12867524081289572</v>
      </c>
      <c r="BF136" s="26">
        <f t="shared" ca="1" si="8"/>
        <v>4.7760859885200471E-2</v>
      </c>
      <c r="BS136" cm="1">
        <f t="array" ref="BS136:BS335">_xlfn.SEQUENCE(200,1,100%,-1%)</f>
        <v>1</v>
      </c>
      <c r="BT136">
        <f>1-BS136</f>
        <v>0</v>
      </c>
      <c r="BU136" s="39">
        <f ca="1">BT136*$BE$17</f>
        <v>0</v>
      </c>
      <c r="BV136" s="39">
        <f t="shared" ref="BV136:BV167" ca="1" si="9">BS136*RF+BT136*$BE$18</f>
        <v>2.5000000000000001E-3</v>
      </c>
    </row>
    <row r="137" spans="54:74" x14ac:dyDescent="0.2">
      <c r="BB137" s="26">
        <v>-0.82499999999999751</v>
      </c>
      <c r="BC137" s="13">
        <f t="shared" si="6"/>
        <v>1.8249999999999975</v>
      </c>
      <c r="BD137" s="12" cm="1">
        <f t="array" aca="1" ref="BD137" ca="1">BB137^2*$BB$16+BC137^2*$BE$16+2*BB137*BC137*MMULT(MMULT(TRANSPOSE(GMVPORT),COVMAT),ORP)</f>
        <v>1.6986616875639765E-2</v>
      </c>
      <c r="BE137" s="12">
        <f t="shared" ca="1" si="7"/>
        <v>0.13033271606024238</v>
      </c>
      <c r="BF137" s="26">
        <f t="shared" ca="1" si="8"/>
        <v>4.831141251004166E-2</v>
      </c>
      <c r="BH137" s="29"/>
      <c r="BI137" s="33"/>
      <c r="BJ137" s="33"/>
      <c r="BS137">
        <v>0.99</v>
      </c>
      <c r="BT137">
        <f t="shared" ref="BT137:BT200" si="10">1-BS137</f>
        <v>1.0000000000000009E-2</v>
      </c>
      <c r="BU137" s="39">
        <f t="shared" ref="BU137:BU200" ca="1" si="11">BT137*$BE$17</f>
        <v>7.7111761328710457E-4</v>
      </c>
      <c r="BV137" s="39">
        <f t="shared" ca="1" si="9"/>
        <v>2.7764317589028232E-3</v>
      </c>
    </row>
    <row r="138" spans="54:74" x14ac:dyDescent="0.2">
      <c r="BB138" s="26">
        <v>-0.84999999999999754</v>
      </c>
      <c r="BC138" s="13">
        <f t="shared" si="6"/>
        <v>1.8499999999999974</v>
      </c>
      <c r="BD138" s="12" cm="1">
        <f t="array" aca="1" ref="BD138" ca="1">BB138^2*$BB$16+BC138^2*$BE$16+2*BB138*BC138*MMULT(MMULT(TRANSPOSE(GMVPORT),COVMAT),ORP)</f>
        <v>1.7421837522366045E-2</v>
      </c>
      <c r="BE138" s="12">
        <f t="shared" ca="1" si="7"/>
        <v>0.1319918085426745</v>
      </c>
      <c r="BF138" s="26">
        <f t="shared" ca="1" si="8"/>
        <v>4.8861965134882855E-2</v>
      </c>
      <c r="BH138" s="29"/>
      <c r="BI138" s="33"/>
      <c r="BJ138" s="33"/>
      <c r="BS138">
        <v>0.98</v>
      </c>
      <c r="BT138">
        <f t="shared" si="10"/>
        <v>2.0000000000000018E-2</v>
      </c>
      <c r="BU138" s="39">
        <f t="shared" ca="1" si="11"/>
        <v>1.5422352265742091E-3</v>
      </c>
      <c r="BV138" s="39">
        <f t="shared" ca="1" si="9"/>
        <v>3.0528635178056459E-3</v>
      </c>
    </row>
    <row r="139" spans="54:74" x14ac:dyDescent="0.2">
      <c r="BB139" s="26">
        <v>-0.87499999999999756</v>
      </c>
      <c r="BC139" s="13">
        <f t="shared" si="6"/>
        <v>1.8749999999999976</v>
      </c>
      <c r="BD139" s="12" cm="1">
        <f t="array" aca="1" ref="BD139" ca="1">BB139^2*$BB$16+BC139^2*$BE$16+2*BB139*BC139*MMULT(MMULT(TRANSPOSE(GMVPORT),COVMAT),ORP)</f>
        <v>1.786297953843554E-2</v>
      </c>
      <c r="BE139" s="12">
        <f t="shared" ca="1" si="7"/>
        <v>0.13365245803364614</v>
      </c>
      <c r="BF139" s="26">
        <f t="shared" ca="1" si="8"/>
        <v>4.9412517759724051E-2</v>
      </c>
      <c r="BH139" s="29"/>
      <c r="BI139" s="33"/>
      <c r="BJ139" s="33"/>
      <c r="BS139">
        <v>0.97</v>
      </c>
      <c r="BT139">
        <f t="shared" si="10"/>
        <v>3.0000000000000027E-2</v>
      </c>
      <c r="BU139" s="39">
        <f t="shared" ca="1" si="11"/>
        <v>2.313352839861314E-3</v>
      </c>
      <c r="BV139" s="39">
        <f t="shared" ca="1" si="9"/>
        <v>3.329295276708469E-3</v>
      </c>
    </row>
    <row r="140" spans="54:74" x14ac:dyDescent="0.2">
      <c r="BB140" s="26">
        <v>-0.89999999999999758</v>
      </c>
      <c r="BC140" s="13">
        <f t="shared" si="6"/>
        <v>1.8999999999999977</v>
      </c>
      <c r="BD140" s="12" cm="1">
        <f t="array" aca="1" ref="BD140" ca="1">BB140^2*$BB$16+BC140^2*$BE$16+2*BB140*BC140*MMULT(MMULT(TRANSPOSE(GMVPORT),COVMAT),ORP)</f>
        <v>1.8310042923848253E-2</v>
      </c>
      <c r="BE140" s="12">
        <f t="shared" ca="1" si="7"/>
        <v>0.13531460720797386</v>
      </c>
      <c r="BF140" s="26">
        <f t="shared" ca="1" si="8"/>
        <v>4.9963070384565253E-2</v>
      </c>
      <c r="BH140" s="29"/>
      <c r="BI140" s="33"/>
      <c r="BJ140" s="33"/>
      <c r="BS140">
        <v>0.96</v>
      </c>
      <c r="BT140">
        <f t="shared" si="10"/>
        <v>4.0000000000000036E-2</v>
      </c>
      <c r="BU140" s="39">
        <f t="shared" ca="1" si="11"/>
        <v>3.0844704531484183E-3</v>
      </c>
      <c r="BV140" s="39">
        <f t="shared" ca="1" si="9"/>
        <v>3.6057270356112912E-3</v>
      </c>
    </row>
    <row r="141" spans="54:74" x14ac:dyDescent="0.2">
      <c r="BB141" s="26">
        <v>-0.9249999999999976</v>
      </c>
      <c r="BC141" s="13">
        <f t="shared" si="6"/>
        <v>1.9249999999999976</v>
      </c>
      <c r="BD141" s="12" cm="1">
        <f t="array" aca="1" ref="BD141" ca="1">BB141^2*$BB$16+BC141^2*$BE$16+2*BB141*BC141*MMULT(MMULT(TRANSPOSE(GMVPORT),COVMAT),ORP)</f>
        <v>1.8763027678604174E-2</v>
      </c>
      <c r="BE141" s="12">
        <f t="shared" ca="1" si="7"/>
        <v>0.13697820147236631</v>
      </c>
      <c r="BF141" s="26">
        <f t="shared" ca="1" si="8"/>
        <v>5.0513623009406441E-2</v>
      </c>
      <c r="BH141" s="29"/>
      <c r="BI141" s="33"/>
      <c r="BJ141" s="33"/>
      <c r="BS141">
        <v>0.95</v>
      </c>
      <c r="BT141">
        <f t="shared" si="10"/>
        <v>5.0000000000000044E-2</v>
      </c>
      <c r="BU141" s="39">
        <f t="shared" ca="1" si="11"/>
        <v>3.855588066435523E-3</v>
      </c>
      <c r="BV141" s="39">
        <f t="shared" ca="1" si="9"/>
        <v>3.8821587945141144E-3</v>
      </c>
    </row>
    <row r="142" spans="54:74" x14ac:dyDescent="0.2">
      <c r="BB142" s="26">
        <v>-0.94999999999999762</v>
      </c>
      <c r="BC142" s="13">
        <f t="shared" si="6"/>
        <v>1.9499999999999975</v>
      </c>
      <c r="BD142" s="12" cm="1">
        <f t="array" aca="1" ref="BD142" ca="1">BB142^2*$BB$16+BC142^2*$BE$16+2*BB142*BC142*MMULT(MMULT(TRANSPOSE(GMVPORT),COVMAT),ORP)</f>
        <v>1.9221933802703317E-2</v>
      </c>
      <c r="BE142" s="12">
        <f t="shared" ca="1" si="7"/>
        <v>0.13864318880746834</v>
      </c>
      <c r="BF142" s="26">
        <f t="shared" ca="1" si="8"/>
        <v>5.1064175634247637E-2</v>
      </c>
      <c r="BS142">
        <v>0.94</v>
      </c>
      <c r="BT142">
        <f t="shared" si="10"/>
        <v>6.0000000000000053E-2</v>
      </c>
      <c r="BU142" s="39">
        <f t="shared" ca="1" si="11"/>
        <v>4.6267056797226281E-3</v>
      </c>
      <c r="BV142" s="39">
        <f t="shared" ca="1" si="9"/>
        <v>4.1585905534169375E-3</v>
      </c>
    </row>
    <row r="143" spans="54:74" x14ac:dyDescent="0.2">
      <c r="BB143" s="26">
        <v>-0.97499999999999765</v>
      </c>
      <c r="BC143" s="13">
        <f t="shared" si="6"/>
        <v>1.9749999999999976</v>
      </c>
      <c r="BD143" s="12" cm="1">
        <f t="array" aca="1" ref="BD143" ca="1">BB143^2*$BB$16+BC143^2*$BE$16+2*BB143*BC143*MMULT(MMULT(TRANSPOSE(GMVPORT),COVMAT),ORP)</f>
        <v>1.9686761296145668E-2</v>
      </c>
      <c r="BE143" s="12">
        <f t="shared" ca="1" si="7"/>
        <v>0.14030951962053631</v>
      </c>
      <c r="BF143" s="26">
        <f t="shared" ca="1" si="8"/>
        <v>5.1614728259088832E-2</v>
      </c>
      <c r="BS143">
        <v>0.92999999999999994</v>
      </c>
      <c r="BT143">
        <f t="shared" si="10"/>
        <v>7.0000000000000062E-2</v>
      </c>
      <c r="BU143" s="39">
        <f t="shared" ca="1" si="11"/>
        <v>5.3978232930097323E-3</v>
      </c>
      <c r="BV143" s="39">
        <f t="shared" ca="1" si="9"/>
        <v>4.4350223123197606E-3</v>
      </c>
    </row>
    <row r="144" spans="54:74" x14ac:dyDescent="0.2">
      <c r="BB144" s="26">
        <v>-0.99999999999999767</v>
      </c>
      <c r="BC144" s="13">
        <f t="shared" si="6"/>
        <v>1.9999999999999978</v>
      </c>
      <c r="BD144" s="12" cm="1">
        <f t="array" aca="1" ref="BD144" ca="1">BB144^2*$BB$16+BC144^2*$BE$16+2*BB144*BC144*MMULT(MMULT(TRANSPOSE(GMVPORT),COVMAT),ORP)</f>
        <v>2.015751015893124E-2</v>
      </c>
      <c r="BE144" s="12">
        <f t="shared" ca="1" si="7"/>
        <v>0.14197714660793559</v>
      </c>
      <c r="BF144" s="26">
        <f t="shared" ca="1" si="8"/>
        <v>5.2165280883930035E-2</v>
      </c>
      <c r="BS144">
        <v>0.91999999999999993</v>
      </c>
      <c r="BT144">
        <f t="shared" si="10"/>
        <v>8.0000000000000071E-2</v>
      </c>
      <c r="BU144" s="39">
        <f t="shared" ca="1" si="11"/>
        <v>6.1689409062968366E-3</v>
      </c>
      <c r="BV144" s="39">
        <f t="shared" ca="1" si="9"/>
        <v>4.7114540712225837E-3</v>
      </c>
    </row>
    <row r="145" spans="54:74" x14ac:dyDescent="0.2">
      <c r="BB145" s="26">
        <v>-1.0249999999999977</v>
      </c>
      <c r="BC145" s="13">
        <f t="shared" si="6"/>
        <v>2.0249999999999977</v>
      </c>
      <c r="BD145" s="12" cm="1">
        <f t="array" aca="1" ref="BD145" ca="1">BB145^2*$BB$16+BC145^2*$BE$16+2*BB145*BC145*MMULT(MMULT(TRANSPOSE(GMVPORT),COVMAT),ORP)</f>
        <v>2.063418039106002E-2</v>
      </c>
      <c r="BE145" s="12">
        <f t="shared" ca="1" si="7"/>
        <v>0.14364602462671922</v>
      </c>
      <c r="BF145" s="26">
        <f t="shared" ca="1" si="8"/>
        <v>5.271583350877123E-2</v>
      </c>
      <c r="BS145">
        <v>0.90999999999999992</v>
      </c>
      <c r="BT145">
        <f t="shared" si="10"/>
        <v>9.000000000000008E-2</v>
      </c>
      <c r="BU145" s="39">
        <f t="shared" ca="1" si="11"/>
        <v>6.9400585195839417E-3</v>
      </c>
      <c r="BV145" s="39">
        <f t="shared" ca="1" si="9"/>
        <v>4.987885830125406E-3</v>
      </c>
    </row>
    <row r="146" spans="54:74" x14ac:dyDescent="0.2">
      <c r="BB146" s="26">
        <v>-1.0499999999999976</v>
      </c>
      <c r="BC146" s="13">
        <f t="shared" si="6"/>
        <v>2.0499999999999976</v>
      </c>
      <c r="BD146" s="12" cm="1">
        <f t="array" aca="1" ref="BD146" ca="1">BB146^2*$BB$16+BC146^2*$BE$16+2*BB146*BC146*MMULT(MMULT(TRANSPOSE(GMVPORT),COVMAT),ORP)</f>
        <v>2.1116771992532014E-2</v>
      </c>
      <c r="BE146" s="12">
        <f t="shared" ca="1" si="7"/>
        <v>0.14531611057460908</v>
      </c>
      <c r="BF146" s="26">
        <f t="shared" ca="1" si="8"/>
        <v>5.3266386133612419E-2</v>
      </c>
      <c r="BS146">
        <v>0.89999999999999991</v>
      </c>
      <c r="BT146">
        <f t="shared" si="10"/>
        <v>0.10000000000000009</v>
      </c>
      <c r="BU146" s="39">
        <f t="shared" ca="1" si="11"/>
        <v>7.7111761328710459E-3</v>
      </c>
      <c r="BV146" s="39">
        <f t="shared" ca="1" si="9"/>
        <v>5.2643175890282291E-3</v>
      </c>
    </row>
    <row r="147" spans="54:74" x14ac:dyDescent="0.2">
      <c r="BB147" s="26">
        <v>-1.0749999999999975</v>
      </c>
      <c r="BC147" s="13">
        <f t="shared" si="6"/>
        <v>2.0749999999999975</v>
      </c>
      <c r="BD147" s="12" cm="1">
        <f t="array" aca="1" ref="BD147" ca="1">BB147^2*$BB$16+BC147^2*$BE$16+2*BB147*BC147*MMULT(MMULT(TRANSPOSE(GMVPORT),COVMAT),ORP)</f>
        <v>2.1605284963347227E-2</v>
      </c>
      <c r="BE147" s="12">
        <f t="shared" ca="1" si="7"/>
        <v>0.14698736327775672</v>
      </c>
      <c r="BF147" s="26">
        <f t="shared" ca="1" si="8"/>
        <v>5.3816938758453614E-2</v>
      </c>
      <c r="BS147">
        <v>0.8899999999999999</v>
      </c>
      <c r="BT147">
        <f t="shared" si="10"/>
        <v>0.1100000000000001</v>
      </c>
      <c r="BU147" s="39">
        <f t="shared" ca="1" si="11"/>
        <v>8.482293746158151E-3</v>
      </c>
      <c r="BV147" s="39">
        <f t="shared" ca="1" si="9"/>
        <v>5.5407493479310522E-3</v>
      </c>
    </row>
    <row r="148" spans="54:74" x14ac:dyDescent="0.2">
      <c r="BB148" s="26">
        <v>-1.0999999999999974</v>
      </c>
      <c r="BC148" s="13">
        <f t="shared" si="6"/>
        <v>2.0999999999999974</v>
      </c>
      <c r="BD148" s="12" cm="1">
        <f t="array" aca="1" ref="BD148" ca="1">BB148^2*$BB$16+BC148^2*$BE$16+2*BB148*BC148*MMULT(MMULT(TRANSPOSE(GMVPORT),COVMAT),ORP)</f>
        <v>2.2099719303505655E-2</v>
      </c>
      <c r="BE148" s="12">
        <f t="shared" ca="1" si="7"/>
        <v>0.1486597433857117</v>
      </c>
      <c r="BF148" s="26">
        <f t="shared" ca="1" si="8"/>
        <v>5.436749138329481E-2</v>
      </c>
      <c r="BS148">
        <v>0.87999999999999989</v>
      </c>
      <c r="BT148">
        <f t="shared" si="10"/>
        <v>0.12000000000000011</v>
      </c>
      <c r="BU148" s="39">
        <f t="shared" ca="1" si="11"/>
        <v>9.2534113594452561E-3</v>
      </c>
      <c r="BV148" s="39">
        <f t="shared" ca="1" si="9"/>
        <v>5.8171811068338745E-3</v>
      </c>
    </row>
    <row r="149" spans="54:74" x14ac:dyDescent="0.2">
      <c r="BB149" s="26">
        <v>-1.1249999999999973</v>
      </c>
      <c r="BC149" s="13">
        <f t="shared" si="6"/>
        <v>2.1249999999999973</v>
      </c>
      <c r="BD149" s="12" cm="1">
        <f t="array" aca="1" ref="BD149" ca="1">BB149^2*$BB$16+BC149^2*$BE$16+2*BB149*BC149*MMULT(MMULT(TRANSPOSE(GMVPORT),COVMAT),ORP)</f>
        <v>2.260007501300729E-2</v>
      </c>
      <c r="BE149" s="12">
        <f t="shared" ca="1" si="7"/>
        <v>0.15033321327307314</v>
      </c>
      <c r="BF149" s="26">
        <f t="shared" ca="1" si="8"/>
        <v>5.4918044008135998E-2</v>
      </c>
      <c r="BS149">
        <v>0.86999999999999988</v>
      </c>
      <c r="BT149">
        <f t="shared" si="10"/>
        <v>0.13000000000000012</v>
      </c>
      <c r="BU149" s="39">
        <f t="shared" ca="1" si="11"/>
        <v>1.002452897273236E-2</v>
      </c>
      <c r="BV149" s="39">
        <f t="shared" ca="1" si="9"/>
        <v>6.0936128657366976E-3</v>
      </c>
    </row>
    <row r="150" spans="54:74" x14ac:dyDescent="0.2">
      <c r="BB150" s="26">
        <v>-1.1499999999999972</v>
      </c>
      <c r="BC150" s="13">
        <f t="shared" si="6"/>
        <v>2.1499999999999972</v>
      </c>
      <c r="BD150" s="12" cm="1">
        <f t="array" aca="1" ref="BD150" ca="1">BB150^2*$BB$16+BC150^2*$BE$16+2*BB150*BC150*MMULT(MMULT(TRANSPOSE(GMVPORT),COVMAT),ORP)</f>
        <v>2.3106352091852148E-2</v>
      </c>
      <c r="BE150" s="12">
        <f t="shared" ca="1" si="7"/>
        <v>0.15200773694734143</v>
      </c>
      <c r="BF150" s="26">
        <f t="shared" ca="1" si="8"/>
        <v>5.5468596632977187E-2</v>
      </c>
      <c r="BS150">
        <v>0.85999999999999988</v>
      </c>
      <c r="BT150">
        <f t="shared" si="10"/>
        <v>0.14000000000000012</v>
      </c>
      <c r="BU150" s="39">
        <f t="shared" ca="1" si="11"/>
        <v>1.0795646586019465E-2</v>
      </c>
      <c r="BV150" s="39">
        <f t="shared" ca="1" si="9"/>
        <v>6.3700446246395207E-3</v>
      </c>
    </row>
    <row r="151" spans="54:74" x14ac:dyDescent="0.2">
      <c r="BB151" s="26">
        <v>-1.1749999999999972</v>
      </c>
      <c r="BC151" s="13">
        <f t="shared" si="6"/>
        <v>2.1749999999999972</v>
      </c>
      <c r="BD151" s="12" cm="1">
        <f t="array" aca="1" ref="BD151" ca="1">BB151^2*$BB$16+BC151^2*$BE$16+2*BB151*BC151*MMULT(MMULT(TRANSPOSE(GMVPORT),COVMAT),ORP)</f>
        <v>2.3618550540040216E-2</v>
      </c>
      <c r="BE151" s="12">
        <f t="shared" ca="1" si="7"/>
        <v>0.15368327996252623</v>
      </c>
      <c r="BF151" s="26">
        <f t="shared" ca="1" si="8"/>
        <v>5.6019149257818396E-2</v>
      </c>
      <c r="BS151">
        <v>0.84999999999999987</v>
      </c>
      <c r="BT151">
        <f t="shared" si="10"/>
        <v>0.15000000000000013</v>
      </c>
      <c r="BU151" s="39">
        <f t="shared" ca="1" si="11"/>
        <v>1.156676419930657E-2</v>
      </c>
      <c r="BV151" s="39">
        <f t="shared" ca="1" si="9"/>
        <v>6.6464763835423438E-3</v>
      </c>
    </row>
    <row r="152" spans="54:74" x14ac:dyDescent="0.2">
      <c r="BB152" s="26">
        <v>-1.1999999999999971</v>
      </c>
      <c r="BC152" s="13"/>
      <c r="BE152" s="12"/>
      <c r="BF152" s="26"/>
      <c r="BS152">
        <v>0.83999999999999986</v>
      </c>
      <c r="BT152">
        <f t="shared" si="10"/>
        <v>0.16000000000000014</v>
      </c>
      <c r="BU152" s="39">
        <f t="shared" ca="1" si="11"/>
        <v>1.2337881812593673E-2</v>
      </c>
      <c r="BV152" s="39">
        <f t="shared" ca="1" si="9"/>
        <v>6.922908142445167E-3</v>
      </c>
    </row>
    <row r="153" spans="54:74" x14ac:dyDescent="0.2">
      <c r="BB153" s="26">
        <v>-1.224999999999997</v>
      </c>
      <c r="BC153" s="13"/>
      <c r="BE153" s="12"/>
      <c r="BF153" s="26"/>
      <c r="BS153">
        <v>0.82999999999999985</v>
      </c>
      <c r="BT153">
        <f t="shared" si="10"/>
        <v>0.17000000000000015</v>
      </c>
      <c r="BU153" s="39">
        <f t="shared" ca="1" si="11"/>
        <v>1.3108999425880778E-2</v>
      </c>
      <c r="BV153" s="39">
        <f t="shared" ca="1" si="9"/>
        <v>7.1993399013479892E-3</v>
      </c>
    </row>
    <row r="154" spans="54:74" x14ac:dyDescent="0.2">
      <c r="BB154" s="26">
        <v>-1.2499999999999969</v>
      </c>
      <c r="BC154" s="13"/>
      <c r="BE154" s="12"/>
      <c r="BF154" s="26"/>
      <c r="BS154">
        <v>0.81999999999999984</v>
      </c>
      <c r="BT154">
        <f t="shared" si="10"/>
        <v>0.18000000000000016</v>
      </c>
      <c r="BU154" s="39">
        <f t="shared" ca="1" si="11"/>
        <v>1.3880117039167883E-2</v>
      </c>
      <c r="BV154" s="39">
        <f t="shared" ca="1" si="9"/>
        <v>7.4757716602508123E-3</v>
      </c>
    </row>
    <row r="155" spans="54:74" x14ac:dyDescent="0.2">
      <c r="BB155" s="26">
        <v>-1.2749999999999968</v>
      </c>
      <c r="BC155" s="13"/>
      <c r="BE155" s="12"/>
      <c r="BF155" s="26"/>
      <c r="BS155">
        <v>0.80999999999999983</v>
      </c>
      <c r="BT155">
        <f t="shared" si="10"/>
        <v>0.19000000000000017</v>
      </c>
      <c r="BU155" s="39">
        <f t="shared" ca="1" si="11"/>
        <v>1.4651234652454988E-2</v>
      </c>
      <c r="BV155" s="39">
        <f t="shared" ca="1" si="9"/>
        <v>7.7522034191536346E-3</v>
      </c>
    </row>
    <row r="156" spans="54:74" x14ac:dyDescent="0.2">
      <c r="BB156" s="26">
        <v>-1.2999999999999967</v>
      </c>
      <c r="BC156" s="13"/>
      <c r="BE156" s="12"/>
      <c r="BF156" s="26"/>
      <c r="BS156">
        <v>0.79999999999999982</v>
      </c>
      <c r="BT156">
        <f t="shared" si="10"/>
        <v>0.20000000000000018</v>
      </c>
      <c r="BU156" s="39">
        <f t="shared" ca="1" si="11"/>
        <v>1.5422352265742092E-2</v>
      </c>
      <c r="BV156" s="39">
        <f t="shared" ca="1" si="9"/>
        <v>8.0286351780564577E-3</v>
      </c>
    </row>
    <row r="157" spans="54:74" x14ac:dyDescent="0.2">
      <c r="BB157" s="26">
        <v>-1.3249999999999966</v>
      </c>
      <c r="BC157" s="13"/>
      <c r="BE157" s="12"/>
      <c r="BF157" s="26"/>
      <c r="BS157">
        <v>0.78999999999999981</v>
      </c>
      <c r="BT157">
        <f t="shared" si="10"/>
        <v>0.21000000000000019</v>
      </c>
      <c r="BU157" s="39">
        <f t="shared" ca="1" si="11"/>
        <v>1.6193469879029199E-2</v>
      </c>
      <c r="BV157" s="39">
        <f t="shared" ca="1" si="9"/>
        <v>8.3050669369592808E-3</v>
      </c>
    </row>
    <row r="158" spans="54:74" x14ac:dyDescent="0.2">
      <c r="BB158" s="26">
        <v>-1.3499999999999965</v>
      </c>
      <c r="BC158" s="13"/>
      <c r="BE158" s="12"/>
      <c r="BF158" s="26"/>
      <c r="BS158">
        <v>0.7799999999999998</v>
      </c>
      <c r="BT158">
        <f t="shared" si="10"/>
        <v>0.2200000000000002</v>
      </c>
      <c r="BU158" s="39">
        <f t="shared" ca="1" si="11"/>
        <v>1.6964587492316302E-2</v>
      </c>
      <c r="BV158" s="39">
        <f t="shared" ca="1" si="9"/>
        <v>8.581498695862104E-3</v>
      </c>
    </row>
    <row r="159" spans="54:74" x14ac:dyDescent="0.2">
      <c r="BB159" s="26">
        <v>-1.3749999999999964</v>
      </c>
      <c r="BC159" s="13"/>
      <c r="BE159" s="12"/>
      <c r="BF159" s="26"/>
      <c r="BS159">
        <v>0.7699999999999998</v>
      </c>
      <c r="BT159">
        <f t="shared" si="10"/>
        <v>0.2300000000000002</v>
      </c>
      <c r="BU159" s="39">
        <f t="shared" ca="1" si="11"/>
        <v>1.7735705105603405E-2</v>
      </c>
      <c r="BV159" s="39">
        <f t="shared" ca="1" si="9"/>
        <v>8.8579304547649271E-3</v>
      </c>
    </row>
    <row r="160" spans="54:74" x14ac:dyDescent="0.2">
      <c r="BB160" s="26">
        <v>-1.3999999999999964</v>
      </c>
      <c r="BC160" s="13"/>
      <c r="BE160" s="12"/>
      <c r="BF160" s="26"/>
      <c r="BS160">
        <v>0.75999999999999979</v>
      </c>
      <c r="BT160">
        <f t="shared" si="10"/>
        <v>0.24000000000000021</v>
      </c>
      <c r="BU160" s="39">
        <f t="shared" ca="1" si="11"/>
        <v>1.8506822718890512E-2</v>
      </c>
      <c r="BV160" s="39">
        <f t="shared" ca="1" si="9"/>
        <v>9.1343622136677502E-3</v>
      </c>
    </row>
    <row r="161" spans="54:74" x14ac:dyDescent="0.2">
      <c r="BB161" s="26">
        <v>-1.4249999999999963</v>
      </c>
      <c r="BC161" s="13"/>
      <c r="BE161" s="12"/>
      <c r="BF161" s="26"/>
      <c r="BS161">
        <v>0.74999999999999978</v>
      </c>
      <c r="BT161">
        <f t="shared" si="10"/>
        <v>0.25000000000000022</v>
      </c>
      <c r="BU161" s="39">
        <f t="shared" ca="1" si="11"/>
        <v>1.9277940332177616E-2</v>
      </c>
      <c r="BV161" s="39">
        <f t="shared" ca="1" si="9"/>
        <v>9.4107939725705733E-3</v>
      </c>
    </row>
    <row r="162" spans="54:74" x14ac:dyDescent="0.2">
      <c r="BB162" s="26">
        <v>-1.4499999999999962</v>
      </c>
      <c r="BC162" s="13"/>
      <c r="BE162" s="12"/>
      <c r="BF162" s="26"/>
      <c r="BS162">
        <v>0.73999999999999977</v>
      </c>
      <c r="BT162">
        <f t="shared" si="10"/>
        <v>0.26000000000000023</v>
      </c>
      <c r="BU162" s="39">
        <f t="shared" ca="1" si="11"/>
        <v>2.0049057945464719E-2</v>
      </c>
      <c r="BV162" s="39">
        <f t="shared" ca="1" si="9"/>
        <v>9.6872257314733947E-3</v>
      </c>
    </row>
    <row r="163" spans="54:74" x14ac:dyDescent="0.2">
      <c r="BB163" s="26">
        <v>-1.4749999999999961</v>
      </c>
      <c r="BC163" s="13"/>
      <c r="BE163" s="12"/>
      <c r="BF163" s="26"/>
      <c r="BS163">
        <v>0.72999999999999976</v>
      </c>
      <c r="BT163">
        <f t="shared" si="10"/>
        <v>0.27000000000000024</v>
      </c>
      <c r="BU163" s="39">
        <f t="shared" ca="1" si="11"/>
        <v>2.0820175558751826E-2</v>
      </c>
      <c r="BV163" s="39">
        <f t="shared" ca="1" si="9"/>
        <v>9.9636574903762196E-3</v>
      </c>
    </row>
    <row r="164" spans="54:74" x14ac:dyDescent="0.2">
      <c r="BB164" s="26">
        <v>-1.499999999999996</v>
      </c>
      <c r="BC164" s="13"/>
      <c r="BE164" s="12"/>
      <c r="BF164" s="26"/>
      <c r="BS164">
        <v>0.71999999999999975</v>
      </c>
      <c r="BT164">
        <f t="shared" si="10"/>
        <v>0.28000000000000025</v>
      </c>
      <c r="BU164" s="39">
        <f t="shared" ca="1" si="11"/>
        <v>2.1591293172038929E-2</v>
      </c>
      <c r="BV164" s="39">
        <f t="shared" ca="1" si="9"/>
        <v>1.0240089249279041E-2</v>
      </c>
    </row>
    <row r="165" spans="54:74" x14ac:dyDescent="0.2">
      <c r="BB165" s="26">
        <v>-1.5249999999999959</v>
      </c>
      <c r="BC165" s="13"/>
      <c r="BE165" s="12"/>
      <c r="BF165" s="26"/>
      <c r="BS165">
        <v>0.70999999999999974</v>
      </c>
      <c r="BT165">
        <f t="shared" si="10"/>
        <v>0.29000000000000026</v>
      </c>
      <c r="BU165" s="39">
        <f t="shared" ca="1" si="11"/>
        <v>2.2362410785326033E-2</v>
      </c>
      <c r="BV165" s="39">
        <f t="shared" ca="1" si="9"/>
        <v>1.0516521008181864E-2</v>
      </c>
    </row>
    <row r="166" spans="54:74" x14ac:dyDescent="0.2">
      <c r="BB166" s="26">
        <v>-1.5499999999999958</v>
      </c>
      <c r="BC166" s="13"/>
      <c r="BE166" s="12"/>
      <c r="BF166" s="26"/>
      <c r="BS166">
        <v>0.69999999999999973</v>
      </c>
      <c r="BT166">
        <f t="shared" si="10"/>
        <v>0.30000000000000027</v>
      </c>
      <c r="BU166" s="39">
        <f t="shared" ca="1" si="11"/>
        <v>2.3133528398613139E-2</v>
      </c>
      <c r="BV166" s="39">
        <f t="shared" ca="1" si="9"/>
        <v>1.0792952767084687E-2</v>
      </c>
    </row>
    <row r="167" spans="54:74" x14ac:dyDescent="0.2">
      <c r="BB167" s="26">
        <v>-1.5749999999999957</v>
      </c>
      <c r="BC167" s="13"/>
      <c r="BE167" s="12"/>
      <c r="BF167" s="26"/>
      <c r="BS167">
        <v>0.68999999999999972</v>
      </c>
      <c r="BT167">
        <f t="shared" si="10"/>
        <v>0.31000000000000028</v>
      </c>
      <c r="BU167" s="39">
        <f t="shared" ca="1" si="11"/>
        <v>2.3904646011900243E-2</v>
      </c>
      <c r="BV167" s="39">
        <f t="shared" ca="1" si="9"/>
        <v>1.106938452598751E-2</v>
      </c>
    </row>
    <row r="168" spans="54:74" x14ac:dyDescent="0.2">
      <c r="BB168" s="26">
        <v>-1.5999999999999956</v>
      </c>
      <c r="BC168" s="13"/>
      <c r="BE168" s="12"/>
      <c r="BF168" s="26"/>
      <c r="BS168">
        <v>0.67999999999999972</v>
      </c>
      <c r="BT168">
        <f t="shared" si="10"/>
        <v>0.32000000000000028</v>
      </c>
      <c r="BU168" s="39">
        <f t="shared" ca="1" si="11"/>
        <v>2.4675763625187346E-2</v>
      </c>
      <c r="BV168" s="39">
        <f t="shared" ref="BV168:BV199" ca="1" si="12">BS168*RF+BT168*$BE$18</f>
        <v>1.1345816284890332E-2</v>
      </c>
    </row>
    <row r="169" spans="54:74" x14ac:dyDescent="0.2">
      <c r="BB169" s="26">
        <v>-1.6249999999999956</v>
      </c>
      <c r="BC169" s="13"/>
      <c r="BE169" s="12"/>
      <c r="BF169" s="26"/>
      <c r="BS169">
        <v>0.66999999999999971</v>
      </c>
      <c r="BT169">
        <f t="shared" si="10"/>
        <v>0.33000000000000029</v>
      </c>
      <c r="BU169" s="39">
        <f t="shared" ca="1" si="11"/>
        <v>2.5446881238474453E-2</v>
      </c>
      <c r="BV169" s="39">
        <f t="shared" ca="1" si="12"/>
        <v>1.1622248043793157E-2</v>
      </c>
    </row>
    <row r="170" spans="54:74" x14ac:dyDescent="0.2">
      <c r="BB170" s="26">
        <v>-1.6499999999999955</v>
      </c>
      <c r="BC170" s="13"/>
      <c r="BE170" s="12"/>
      <c r="BF170" s="26"/>
      <c r="BS170">
        <v>0.6599999999999997</v>
      </c>
      <c r="BT170">
        <f t="shared" si="10"/>
        <v>0.3400000000000003</v>
      </c>
      <c r="BU170" s="39">
        <f t="shared" ca="1" si="11"/>
        <v>2.6217998851761556E-2</v>
      </c>
      <c r="BV170" s="39">
        <f t="shared" ca="1" si="12"/>
        <v>1.1898679802695978E-2</v>
      </c>
    </row>
    <row r="171" spans="54:74" x14ac:dyDescent="0.2">
      <c r="BB171" s="26">
        <v>-1.6749999999999954</v>
      </c>
      <c r="BC171" s="13"/>
      <c r="BE171" s="12"/>
      <c r="BF171" s="26"/>
      <c r="BS171">
        <v>0.64999999999999969</v>
      </c>
      <c r="BT171">
        <f t="shared" si="10"/>
        <v>0.35000000000000031</v>
      </c>
      <c r="BU171" s="39">
        <f t="shared" ca="1" si="11"/>
        <v>2.6989116465048663E-2</v>
      </c>
      <c r="BV171" s="39">
        <f t="shared" ca="1" si="12"/>
        <v>1.2175111561598803E-2</v>
      </c>
    </row>
    <row r="172" spans="54:74" x14ac:dyDescent="0.2">
      <c r="BB172" s="26">
        <v>-1.6999999999999953</v>
      </c>
      <c r="BC172" s="13"/>
      <c r="BE172" s="12"/>
      <c r="BF172" s="26"/>
      <c r="BS172">
        <v>0.63999999999999968</v>
      </c>
      <c r="BT172">
        <f t="shared" si="10"/>
        <v>0.36000000000000032</v>
      </c>
      <c r="BU172" s="39">
        <f t="shared" ca="1" si="11"/>
        <v>2.7760234078335767E-2</v>
      </c>
      <c r="BV172" s="39">
        <f t="shared" ca="1" si="12"/>
        <v>1.2451543320501624E-2</v>
      </c>
    </row>
    <row r="173" spans="54:74" x14ac:dyDescent="0.2">
      <c r="BB173" s="26">
        <v>-1.7249999999999952</v>
      </c>
      <c r="BC173" s="13"/>
      <c r="BE173" s="12"/>
      <c r="BF173" s="26"/>
      <c r="BS173">
        <v>0.62999999999999967</v>
      </c>
      <c r="BT173">
        <f t="shared" si="10"/>
        <v>0.37000000000000033</v>
      </c>
      <c r="BU173" s="39">
        <f t="shared" ca="1" si="11"/>
        <v>2.853135169162287E-2</v>
      </c>
      <c r="BV173" s="39">
        <f t="shared" ca="1" si="12"/>
        <v>1.2727975079404447E-2</v>
      </c>
    </row>
    <row r="174" spans="54:74" x14ac:dyDescent="0.2">
      <c r="BB174" s="26">
        <v>-1.7499999999999951</v>
      </c>
      <c r="BC174" s="13"/>
      <c r="BE174" s="12"/>
      <c r="BF174" s="26"/>
      <c r="BS174">
        <v>0.61999999999999966</v>
      </c>
      <c r="BT174">
        <f t="shared" si="10"/>
        <v>0.38000000000000034</v>
      </c>
      <c r="BU174" s="39">
        <f t="shared" ca="1" si="11"/>
        <v>2.9302469304909977E-2</v>
      </c>
      <c r="BV174" s="39">
        <f t="shared" ca="1" si="12"/>
        <v>1.300440683830727E-2</v>
      </c>
    </row>
    <row r="175" spans="54:74" x14ac:dyDescent="0.2">
      <c r="BB175" s="26">
        <v>-1.774999999999995</v>
      </c>
      <c r="BC175" s="13"/>
      <c r="BE175" s="12"/>
      <c r="BF175" s="26"/>
      <c r="BS175">
        <v>0.60999999999999965</v>
      </c>
      <c r="BT175">
        <f t="shared" si="10"/>
        <v>0.39000000000000035</v>
      </c>
      <c r="BU175" s="39">
        <f t="shared" ca="1" si="11"/>
        <v>3.007358691819708E-2</v>
      </c>
      <c r="BV175" s="39">
        <f t="shared" ca="1" si="12"/>
        <v>1.3280838597210092E-2</v>
      </c>
    </row>
    <row r="176" spans="54:74" x14ac:dyDescent="0.2">
      <c r="BB176" s="26">
        <v>-1.7999999999999949</v>
      </c>
      <c r="BC176" s="13"/>
      <c r="BE176" s="12"/>
      <c r="BF176" s="26"/>
      <c r="BS176">
        <v>0.59999999999999964</v>
      </c>
      <c r="BT176">
        <f t="shared" si="10"/>
        <v>0.40000000000000036</v>
      </c>
      <c r="BU176" s="39">
        <f t="shared" ca="1" si="11"/>
        <v>3.0844704531484184E-2</v>
      </c>
      <c r="BV176" s="39">
        <f t="shared" ca="1" si="12"/>
        <v>1.3557270356112917E-2</v>
      </c>
    </row>
    <row r="177" spans="54:74" x14ac:dyDescent="0.2">
      <c r="BB177" s="26">
        <v>-1.8249999999999948</v>
      </c>
      <c r="BC177" s="13"/>
      <c r="BE177" s="12"/>
      <c r="BF177" s="26"/>
      <c r="BS177">
        <v>0.58999999999999964</v>
      </c>
      <c r="BT177">
        <f t="shared" si="10"/>
        <v>0.41000000000000036</v>
      </c>
      <c r="BU177" s="39">
        <f t="shared" ca="1" si="11"/>
        <v>3.1615822144771287E-2</v>
      </c>
      <c r="BV177" s="39">
        <f t="shared" ca="1" si="12"/>
        <v>1.3833702115015738E-2</v>
      </c>
    </row>
    <row r="178" spans="54:74" x14ac:dyDescent="0.2">
      <c r="BB178" s="26">
        <v>-1.8499999999999948</v>
      </c>
      <c r="BC178" s="13"/>
      <c r="BE178" s="12"/>
      <c r="BF178" s="26"/>
      <c r="BS178">
        <v>0.57999999999999963</v>
      </c>
      <c r="BT178">
        <f t="shared" si="10"/>
        <v>0.42000000000000037</v>
      </c>
      <c r="BU178" s="39">
        <f t="shared" ca="1" si="11"/>
        <v>3.2386939758058397E-2</v>
      </c>
      <c r="BV178" s="39">
        <f t="shared" ca="1" si="12"/>
        <v>1.4110133873918563E-2</v>
      </c>
    </row>
    <row r="179" spans="54:74" x14ac:dyDescent="0.2">
      <c r="BB179" s="26">
        <v>-1.8749999999999947</v>
      </c>
      <c r="BC179" s="13"/>
      <c r="BE179" s="12"/>
      <c r="BF179" s="26"/>
      <c r="BS179">
        <v>0.56999999999999962</v>
      </c>
      <c r="BT179">
        <f t="shared" si="10"/>
        <v>0.43000000000000038</v>
      </c>
      <c r="BU179" s="39">
        <f t="shared" ca="1" si="11"/>
        <v>3.3158057371345501E-2</v>
      </c>
      <c r="BV179" s="39">
        <f t="shared" ca="1" si="12"/>
        <v>1.4386565632821384E-2</v>
      </c>
    </row>
    <row r="180" spans="54:74" x14ac:dyDescent="0.2">
      <c r="BB180" s="26">
        <v>-1.8999999999999946</v>
      </c>
      <c r="BC180" s="13"/>
      <c r="BE180" s="12"/>
      <c r="BF180" s="26"/>
      <c r="BS180">
        <v>0.55999999999999961</v>
      </c>
      <c r="BT180">
        <f t="shared" si="10"/>
        <v>0.44000000000000039</v>
      </c>
      <c r="BU180" s="39">
        <f t="shared" ca="1" si="11"/>
        <v>3.3929174984632604E-2</v>
      </c>
      <c r="BV180" s="39">
        <f t="shared" ca="1" si="12"/>
        <v>1.4662997391724207E-2</v>
      </c>
    </row>
    <row r="181" spans="54:74" x14ac:dyDescent="0.2">
      <c r="BB181" s="26">
        <v>-1.9249999999999945</v>
      </c>
      <c r="BC181" s="13"/>
      <c r="BE181" s="12"/>
      <c r="BF181" s="26"/>
      <c r="BS181">
        <v>0.5499999999999996</v>
      </c>
      <c r="BT181">
        <f t="shared" si="10"/>
        <v>0.4500000000000004</v>
      </c>
      <c r="BU181" s="39">
        <f t="shared" ca="1" si="11"/>
        <v>3.4700292597919707E-2</v>
      </c>
      <c r="BV181" s="39">
        <f t="shared" ca="1" si="12"/>
        <v>1.4939429150627031E-2</v>
      </c>
    </row>
    <row r="182" spans="54:74" x14ac:dyDescent="0.2">
      <c r="BB182" s="26">
        <v>-1.9499999999999944</v>
      </c>
      <c r="BC182" s="13"/>
      <c r="BE182" s="12"/>
      <c r="BF182" s="26"/>
      <c r="BS182">
        <v>0.53999999999999959</v>
      </c>
      <c r="BT182">
        <f t="shared" si="10"/>
        <v>0.46000000000000041</v>
      </c>
      <c r="BU182" s="39">
        <f t="shared" ca="1" si="11"/>
        <v>3.5471410211206811E-2</v>
      </c>
      <c r="BV182" s="39">
        <f t="shared" ca="1" si="12"/>
        <v>1.5215860909529854E-2</v>
      </c>
    </row>
    <row r="183" spans="54:74" x14ac:dyDescent="0.2">
      <c r="BB183" s="26">
        <v>-1.9749999999999943</v>
      </c>
      <c r="BC183" s="13"/>
      <c r="BE183" s="12"/>
      <c r="BF183" s="26"/>
      <c r="BS183">
        <v>0.52999999999999958</v>
      </c>
      <c r="BT183">
        <f t="shared" si="10"/>
        <v>0.47000000000000042</v>
      </c>
      <c r="BU183" s="39">
        <f t="shared" ca="1" si="11"/>
        <v>3.6242527824493914E-2</v>
      </c>
      <c r="BV183" s="39">
        <f t="shared" ca="1" si="12"/>
        <v>1.5492292668432675E-2</v>
      </c>
    </row>
    <row r="184" spans="54:74" x14ac:dyDescent="0.2">
      <c r="BB184" s="26">
        <v>-1.9999999999999942</v>
      </c>
      <c r="BC184" s="13"/>
      <c r="BE184" s="12"/>
      <c r="BF184" s="26"/>
      <c r="BS184">
        <v>0.51999999999999957</v>
      </c>
      <c r="BT184">
        <f t="shared" si="10"/>
        <v>0.48000000000000043</v>
      </c>
      <c r="BU184" s="39">
        <f t="shared" ca="1" si="11"/>
        <v>3.7013645437781025E-2</v>
      </c>
      <c r="BV184" s="39">
        <f t="shared" ca="1" si="12"/>
        <v>1.5768724427335498E-2</v>
      </c>
    </row>
    <row r="185" spans="54:74" x14ac:dyDescent="0.2">
      <c r="BB185" s="26">
        <v>-2.0249999999999941</v>
      </c>
      <c r="BC185" s="13"/>
      <c r="BE185" s="12"/>
      <c r="BF185" s="26"/>
      <c r="BS185">
        <v>0.50999999999999956</v>
      </c>
      <c r="BT185">
        <f t="shared" si="10"/>
        <v>0.49000000000000044</v>
      </c>
      <c r="BU185" s="39">
        <f t="shared" ca="1" si="11"/>
        <v>3.7784763051068128E-2</v>
      </c>
      <c r="BV185" s="39">
        <f t="shared" ca="1" si="12"/>
        <v>1.6045156186238321E-2</v>
      </c>
    </row>
    <row r="186" spans="54:74" x14ac:dyDescent="0.2">
      <c r="BB186" s="26">
        <v>-2.049999999999994</v>
      </c>
      <c r="BC186" s="13"/>
      <c r="BE186" s="12"/>
      <c r="BF186" s="26"/>
      <c r="BS186">
        <v>0.49999999999999956</v>
      </c>
      <c r="BT186">
        <f t="shared" si="10"/>
        <v>0.50000000000000044</v>
      </c>
      <c r="BU186" s="39">
        <f t="shared" ca="1" si="11"/>
        <v>3.8555880664355231E-2</v>
      </c>
      <c r="BV186" s="39">
        <f t="shared" ca="1" si="12"/>
        <v>1.6321587945141144E-2</v>
      </c>
    </row>
    <row r="187" spans="54:74" x14ac:dyDescent="0.2">
      <c r="BB187" s="26">
        <v>-2.074999999999994</v>
      </c>
      <c r="BC187" s="13"/>
      <c r="BE187" s="12"/>
      <c r="BF187" s="26"/>
      <c r="BS187">
        <v>0.48999999999999955</v>
      </c>
      <c r="BT187">
        <f t="shared" si="10"/>
        <v>0.51000000000000045</v>
      </c>
      <c r="BU187" s="39">
        <f t="shared" ca="1" si="11"/>
        <v>3.9326998277642335E-2</v>
      </c>
      <c r="BV187" s="39">
        <f t="shared" ca="1" si="12"/>
        <v>1.6598019704043968E-2</v>
      </c>
    </row>
    <row r="188" spans="54:74" x14ac:dyDescent="0.2">
      <c r="BB188" s="26">
        <v>-2.0999999999999939</v>
      </c>
      <c r="BC188" s="13"/>
      <c r="BE188" s="12"/>
      <c r="BF188" s="26"/>
      <c r="BS188">
        <v>0.47999999999999954</v>
      </c>
      <c r="BT188">
        <f t="shared" si="10"/>
        <v>0.52000000000000046</v>
      </c>
      <c r="BU188" s="39">
        <f t="shared" ca="1" si="11"/>
        <v>4.0098115890929438E-2</v>
      </c>
      <c r="BV188" s="39">
        <f t="shared" ca="1" si="12"/>
        <v>1.6874451462946791E-2</v>
      </c>
    </row>
    <row r="189" spans="54:74" x14ac:dyDescent="0.2">
      <c r="BB189" s="26">
        <v>-2.1249999999999938</v>
      </c>
      <c r="BC189" s="13"/>
      <c r="BE189" s="12"/>
      <c r="BF189" s="26"/>
      <c r="BS189">
        <v>0.46999999999999953</v>
      </c>
      <c r="BT189">
        <f t="shared" si="10"/>
        <v>0.53000000000000047</v>
      </c>
      <c r="BU189" s="39">
        <f t="shared" ca="1" si="11"/>
        <v>4.0869233504216541E-2</v>
      </c>
      <c r="BV189" s="39">
        <f t="shared" ca="1" si="12"/>
        <v>1.7150883221849614E-2</v>
      </c>
    </row>
    <row r="190" spans="54:74" x14ac:dyDescent="0.2">
      <c r="BB190" s="26">
        <v>-2.1499999999999937</v>
      </c>
      <c r="BC190" s="13"/>
      <c r="BE190" s="12"/>
      <c r="BF190" s="26"/>
      <c r="BS190">
        <v>0.45999999999999952</v>
      </c>
      <c r="BT190">
        <f t="shared" si="10"/>
        <v>0.54000000000000048</v>
      </c>
      <c r="BU190" s="39">
        <f t="shared" ca="1" si="11"/>
        <v>4.1640351117503652E-2</v>
      </c>
      <c r="BV190" s="39">
        <f t="shared" ca="1" si="12"/>
        <v>1.7427314980752437E-2</v>
      </c>
    </row>
    <row r="191" spans="54:74" x14ac:dyDescent="0.2">
      <c r="BB191" s="26">
        <v>-2.1749999999999936</v>
      </c>
      <c r="BC191" s="13"/>
      <c r="BE191" s="12"/>
      <c r="BF191" s="26"/>
      <c r="BS191">
        <v>0.44999999999999951</v>
      </c>
      <c r="BT191">
        <f t="shared" si="10"/>
        <v>0.55000000000000049</v>
      </c>
      <c r="BU191" s="39">
        <f t="shared" ca="1" si="11"/>
        <v>4.2411468730790755E-2</v>
      </c>
      <c r="BV191" s="39">
        <f t="shared" ca="1" si="12"/>
        <v>1.770374673965526E-2</v>
      </c>
    </row>
    <row r="192" spans="54:74" x14ac:dyDescent="0.2">
      <c r="BB192" s="26">
        <v>-2.1999999999999935</v>
      </c>
      <c r="BC192" s="13"/>
      <c r="BE192" s="12"/>
      <c r="BF192" s="26"/>
      <c r="BS192">
        <v>0.4399999999999995</v>
      </c>
      <c r="BT192">
        <f t="shared" si="10"/>
        <v>0.5600000000000005</v>
      </c>
      <c r="BU192" s="39">
        <f t="shared" ca="1" si="11"/>
        <v>4.3182586344077858E-2</v>
      </c>
      <c r="BV192" s="39">
        <f t="shared" ca="1" si="12"/>
        <v>1.7980178498558083E-2</v>
      </c>
    </row>
    <row r="193" spans="54:74" x14ac:dyDescent="0.2">
      <c r="BB193" s="26">
        <v>-2.2249999999999934</v>
      </c>
      <c r="BC193" s="13"/>
      <c r="BE193" s="12"/>
      <c r="BF193" s="26"/>
      <c r="BI193" s="38"/>
      <c r="BJ193" s="38"/>
      <c r="BK193" s="37"/>
      <c r="BS193">
        <v>0.42999999999999949</v>
      </c>
      <c r="BT193">
        <f t="shared" si="10"/>
        <v>0.57000000000000051</v>
      </c>
      <c r="BU193" s="39">
        <f t="shared" ca="1" si="11"/>
        <v>4.3953703957364962E-2</v>
      </c>
      <c r="BV193" s="39">
        <f t="shared" ca="1" si="12"/>
        <v>1.8256610257460906E-2</v>
      </c>
    </row>
    <row r="194" spans="54:74" x14ac:dyDescent="0.2">
      <c r="BB194" s="26">
        <v>-2.2499999999999933</v>
      </c>
      <c r="BC194" s="13"/>
      <c r="BE194" s="12"/>
      <c r="BF194" s="26"/>
      <c r="BI194" s="38"/>
      <c r="BJ194" s="38"/>
      <c r="BS194">
        <v>0.41999999999999948</v>
      </c>
      <c r="BT194">
        <f t="shared" si="10"/>
        <v>0.58000000000000052</v>
      </c>
      <c r="BU194" s="39">
        <f t="shared" ca="1" si="11"/>
        <v>4.4724821570652065E-2</v>
      </c>
      <c r="BV194" s="39">
        <f t="shared" ca="1" si="12"/>
        <v>1.8533042016363729E-2</v>
      </c>
    </row>
    <row r="195" spans="54:74" x14ac:dyDescent="0.2">
      <c r="BB195" s="26">
        <v>-2.2749999999999932</v>
      </c>
      <c r="BC195" s="13"/>
      <c r="BE195" s="12"/>
      <c r="BF195" s="26"/>
      <c r="BS195">
        <v>0.40999999999999948</v>
      </c>
      <c r="BT195">
        <f t="shared" si="10"/>
        <v>0.59000000000000052</v>
      </c>
      <c r="BU195" s="39">
        <f t="shared" ca="1" si="11"/>
        <v>4.5495939183939176E-2</v>
      </c>
      <c r="BV195" s="39">
        <f t="shared" ca="1" si="12"/>
        <v>1.8809473775266549E-2</v>
      </c>
    </row>
    <row r="196" spans="54:74" x14ac:dyDescent="0.2">
      <c r="BB196" s="26">
        <v>-2.2999999999999932</v>
      </c>
      <c r="BC196" s="13"/>
      <c r="BE196" s="12"/>
      <c r="BF196" s="26"/>
      <c r="BS196">
        <v>0.39999999999999947</v>
      </c>
      <c r="BT196">
        <f t="shared" si="10"/>
        <v>0.60000000000000053</v>
      </c>
      <c r="BU196" s="39">
        <f t="shared" ca="1" si="11"/>
        <v>4.6267056797226279E-2</v>
      </c>
      <c r="BV196" s="39">
        <f t="shared" ca="1" si="12"/>
        <v>1.9085905534169372E-2</v>
      </c>
    </row>
    <row r="197" spans="54:74" x14ac:dyDescent="0.2">
      <c r="BB197" s="26">
        <v>-2.3249999999999931</v>
      </c>
      <c r="BC197" s="13"/>
      <c r="BE197" s="12"/>
      <c r="BF197" s="26"/>
      <c r="BS197">
        <v>0.38999999999999946</v>
      </c>
      <c r="BT197">
        <f t="shared" si="10"/>
        <v>0.61000000000000054</v>
      </c>
      <c r="BU197" s="39">
        <f t="shared" ca="1" si="11"/>
        <v>4.7038174410513382E-2</v>
      </c>
      <c r="BV197" s="39">
        <f t="shared" ca="1" si="12"/>
        <v>1.9362337293072199E-2</v>
      </c>
    </row>
    <row r="198" spans="54:74" x14ac:dyDescent="0.2">
      <c r="BB198" s="26">
        <v>-2.349999999999993</v>
      </c>
      <c r="BC198" s="13"/>
      <c r="BE198" s="12"/>
      <c r="BF198" s="26"/>
      <c r="BS198">
        <v>0.37999999999999945</v>
      </c>
      <c r="BT198">
        <f t="shared" si="10"/>
        <v>0.62000000000000055</v>
      </c>
      <c r="BU198" s="39">
        <f t="shared" ca="1" si="11"/>
        <v>4.7809292023800486E-2</v>
      </c>
      <c r="BV198" s="39">
        <f t="shared" ca="1" si="12"/>
        <v>1.9638769051975022E-2</v>
      </c>
    </row>
    <row r="199" spans="54:74" x14ac:dyDescent="0.2">
      <c r="BB199" s="26">
        <v>-2.3749999999999929</v>
      </c>
      <c r="BC199" s="13"/>
      <c r="BE199" s="12"/>
      <c r="BF199" s="26"/>
      <c r="BS199">
        <v>0.36999999999999944</v>
      </c>
      <c r="BT199">
        <f t="shared" si="10"/>
        <v>0.63000000000000056</v>
      </c>
      <c r="BU199" s="39">
        <f t="shared" ca="1" si="11"/>
        <v>4.8580409637087589E-2</v>
      </c>
      <c r="BV199" s="39">
        <f t="shared" ca="1" si="12"/>
        <v>1.9915200810877842E-2</v>
      </c>
    </row>
    <row r="200" spans="54:74" x14ac:dyDescent="0.2">
      <c r="BB200" s="26">
        <v>-2.3999999999999928</v>
      </c>
      <c r="BC200" s="13"/>
      <c r="BE200" s="12"/>
      <c r="BF200" s="26"/>
      <c r="BS200">
        <v>0.35999999999999943</v>
      </c>
      <c r="BT200">
        <f t="shared" si="10"/>
        <v>0.64000000000000057</v>
      </c>
      <c r="BU200" s="39">
        <f t="shared" ca="1" si="11"/>
        <v>4.9351527250374692E-2</v>
      </c>
      <c r="BV200" s="39">
        <f t="shared" ref="BV200:BV231" ca="1" si="13">BS200*RF+BT200*$BE$18</f>
        <v>2.0191632569780665E-2</v>
      </c>
    </row>
    <row r="201" spans="54:74" x14ac:dyDescent="0.2">
      <c r="BB201" s="26">
        <v>-2.4249999999999927</v>
      </c>
      <c r="BC201" s="13"/>
      <c r="BE201" s="12"/>
      <c r="BF201" s="26"/>
      <c r="BS201">
        <v>0.34999999999999942</v>
      </c>
      <c r="BT201">
        <f t="shared" ref="BT201:BT264" si="14">1-BS201</f>
        <v>0.65000000000000058</v>
      </c>
      <c r="BU201" s="39">
        <f t="shared" ref="BU201:BU264" ca="1" si="15">BT201*$BE$17</f>
        <v>5.0122644863661803E-2</v>
      </c>
      <c r="BV201" s="39">
        <f t="shared" ca="1" si="13"/>
        <v>2.0468064328683488E-2</v>
      </c>
    </row>
    <row r="202" spans="54:74" x14ac:dyDescent="0.2">
      <c r="BB202" s="26">
        <v>-2.4499999999999926</v>
      </c>
      <c r="BC202" s="13"/>
      <c r="BE202" s="12"/>
      <c r="BF202" s="26"/>
      <c r="BS202">
        <v>0.33999999999999941</v>
      </c>
      <c r="BT202">
        <f t="shared" si="14"/>
        <v>0.66000000000000059</v>
      </c>
      <c r="BU202" s="39">
        <f t="shared" ca="1" si="15"/>
        <v>5.0893762476948906E-2</v>
      </c>
      <c r="BV202" s="39">
        <f t="shared" ca="1" si="13"/>
        <v>2.0744496087586314E-2</v>
      </c>
    </row>
    <row r="203" spans="54:74" x14ac:dyDescent="0.2">
      <c r="BB203" s="26">
        <v>-2.4749999999999925</v>
      </c>
      <c r="BC203" s="13"/>
      <c r="BE203" s="12"/>
      <c r="BF203" s="26"/>
      <c r="BS203">
        <v>0.3299999999999994</v>
      </c>
      <c r="BT203">
        <f t="shared" si="14"/>
        <v>0.6700000000000006</v>
      </c>
      <c r="BU203" s="39">
        <f t="shared" ca="1" si="15"/>
        <v>5.1664880090236009E-2</v>
      </c>
      <c r="BV203" s="39">
        <f t="shared" ca="1" si="13"/>
        <v>2.1020927846489134E-2</v>
      </c>
    </row>
    <row r="204" spans="54:74" x14ac:dyDescent="0.2">
      <c r="BB204" s="26">
        <v>-2.4999999999999925</v>
      </c>
      <c r="BC204" s="13"/>
      <c r="BE204" s="12"/>
      <c r="BF204" s="26"/>
      <c r="BS204">
        <v>0.3199999999999994</v>
      </c>
      <c r="BT204">
        <f t="shared" si="14"/>
        <v>0.6800000000000006</v>
      </c>
      <c r="BU204" s="39">
        <f t="shared" ca="1" si="15"/>
        <v>5.2435997703523113E-2</v>
      </c>
      <c r="BV204" s="39">
        <f t="shared" ca="1" si="13"/>
        <v>2.1297359605391957E-2</v>
      </c>
    </row>
    <row r="205" spans="54:74" x14ac:dyDescent="0.2">
      <c r="BB205" s="26">
        <v>-2.5249999999999924</v>
      </c>
      <c r="BC205" s="13"/>
      <c r="BE205" s="12"/>
      <c r="BF205" s="26"/>
      <c r="BS205">
        <v>0.30999999999999939</v>
      </c>
      <c r="BT205">
        <f t="shared" si="14"/>
        <v>0.69000000000000061</v>
      </c>
      <c r="BU205" s="39">
        <f t="shared" ca="1" si="15"/>
        <v>5.3207115316810216E-2</v>
      </c>
      <c r="BV205" s="39">
        <f t="shared" ca="1" si="13"/>
        <v>2.157379136429478E-2</v>
      </c>
    </row>
    <row r="206" spans="54:74" x14ac:dyDescent="0.2">
      <c r="BB206" s="26">
        <v>-2.5499999999999923</v>
      </c>
      <c r="BC206" s="13"/>
      <c r="BE206" s="12"/>
      <c r="BF206" s="26"/>
      <c r="BS206">
        <v>0.29999999999999938</v>
      </c>
      <c r="BT206">
        <f t="shared" si="14"/>
        <v>0.70000000000000062</v>
      </c>
      <c r="BU206" s="39">
        <f t="shared" ca="1" si="15"/>
        <v>5.3978232930097327E-2</v>
      </c>
      <c r="BV206" s="39">
        <f t="shared" ca="1" si="13"/>
        <v>2.1850223123197603E-2</v>
      </c>
    </row>
    <row r="207" spans="54:74" x14ac:dyDescent="0.2">
      <c r="BB207" s="26">
        <v>-2.5749999999999922</v>
      </c>
      <c r="BC207" s="13"/>
      <c r="BE207" s="12"/>
      <c r="BF207" s="26"/>
      <c r="BS207">
        <v>0.28999999999999937</v>
      </c>
      <c r="BT207">
        <f t="shared" si="14"/>
        <v>0.71000000000000063</v>
      </c>
      <c r="BU207" s="39">
        <f t="shared" ca="1" si="15"/>
        <v>5.474935054338443E-2</v>
      </c>
      <c r="BV207" s="39">
        <f t="shared" ca="1" si="13"/>
        <v>2.2126654882100426E-2</v>
      </c>
    </row>
    <row r="208" spans="54:74" x14ac:dyDescent="0.2">
      <c r="BB208" s="26">
        <v>-2.5999999999999921</v>
      </c>
      <c r="BC208" s="13"/>
      <c r="BE208" s="12"/>
      <c r="BF208" s="26"/>
      <c r="BS208">
        <v>0.27999999999999936</v>
      </c>
      <c r="BT208">
        <f t="shared" si="14"/>
        <v>0.72000000000000064</v>
      </c>
      <c r="BU208" s="39">
        <f t="shared" ca="1" si="15"/>
        <v>5.5520468156671533E-2</v>
      </c>
      <c r="BV208" s="39">
        <f t="shared" ca="1" si="13"/>
        <v>2.240308664100325E-2</v>
      </c>
    </row>
    <row r="209" spans="54:74" x14ac:dyDescent="0.2">
      <c r="BB209" s="26">
        <v>-2.624999999999992</v>
      </c>
      <c r="BC209" s="13"/>
      <c r="BE209" s="12"/>
      <c r="BF209" s="26"/>
      <c r="BS209">
        <v>0.26999999999999935</v>
      </c>
      <c r="BT209">
        <f t="shared" si="14"/>
        <v>0.73000000000000065</v>
      </c>
      <c r="BU209" s="39">
        <f t="shared" ca="1" si="15"/>
        <v>5.6291585769958637E-2</v>
      </c>
      <c r="BV209" s="39">
        <f t="shared" ca="1" si="13"/>
        <v>2.2679518399906073E-2</v>
      </c>
    </row>
    <row r="210" spans="54:74" x14ac:dyDescent="0.2">
      <c r="BB210" s="26">
        <v>-2.6499999999999919</v>
      </c>
      <c r="BC210" s="13"/>
      <c r="BE210" s="12"/>
      <c r="BF210" s="26"/>
      <c r="BS210">
        <v>0.25999999999999934</v>
      </c>
      <c r="BT210">
        <f t="shared" si="14"/>
        <v>0.74000000000000066</v>
      </c>
      <c r="BU210" s="39">
        <f t="shared" ca="1" si="15"/>
        <v>5.706270338324574E-2</v>
      </c>
      <c r="BV210" s="39">
        <f t="shared" ca="1" si="13"/>
        <v>2.2955950158808896E-2</v>
      </c>
    </row>
    <row r="211" spans="54:74" x14ac:dyDescent="0.2">
      <c r="BB211" s="26">
        <v>-2.6749999999999918</v>
      </c>
      <c r="BC211" s="13"/>
      <c r="BE211" s="12"/>
      <c r="BF211" s="26"/>
      <c r="BS211">
        <v>0.24999999999999933</v>
      </c>
      <c r="BT211">
        <f t="shared" si="14"/>
        <v>0.75000000000000067</v>
      </c>
      <c r="BU211" s="39">
        <f t="shared" ca="1" si="15"/>
        <v>5.7833820996532843E-2</v>
      </c>
      <c r="BV211" s="39">
        <f t="shared" ca="1" si="13"/>
        <v>2.3232381917711716E-2</v>
      </c>
    </row>
    <row r="212" spans="54:74" x14ac:dyDescent="0.2">
      <c r="BB212" s="26">
        <v>-2.6999999999999917</v>
      </c>
      <c r="BC212" s="13"/>
      <c r="BE212" s="12"/>
      <c r="BF212" s="26"/>
      <c r="BS212">
        <v>0.23999999999999932</v>
      </c>
      <c r="BT212">
        <f t="shared" si="14"/>
        <v>0.76000000000000068</v>
      </c>
      <c r="BU212" s="39">
        <f t="shared" ca="1" si="15"/>
        <v>5.8604938609819954E-2</v>
      </c>
      <c r="BV212" s="39">
        <f t="shared" ca="1" si="13"/>
        <v>2.3508813676614542E-2</v>
      </c>
    </row>
    <row r="213" spans="54:74" x14ac:dyDescent="0.2">
      <c r="BB213" s="26">
        <v>-2.7249999999999917</v>
      </c>
      <c r="BC213" s="13"/>
      <c r="BE213" s="12"/>
      <c r="BF213" s="26"/>
      <c r="BS213">
        <v>0.22999999999999932</v>
      </c>
      <c r="BT213">
        <f t="shared" si="14"/>
        <v>0.77000000000000068</v>
      </c>
      <c r="BU213" s="39">
        <f t="shared" ca="1" si="15"/>
        <v>5.9376056223107057E-2</v>
      </c>
      <c r="BV213" s="39">
        <f t="shared" ca="1" si="13"/>
        <v>2.3785245435517365E-2</v>
      </c>
    </row>
    <row r="214" spans="54:74" x14ac:dyDescent="0.2">
      <c r="BB214" s="26">
        <v>-2.7499999999999916</v>
      </c>
      <c r="BC214" s="13"/>
      <c r="BE214" s="12"/>
      <c r="BF214" s="26"/>
      <c r="BS214">
        <v>0.21999999999999931</v>
      </c>
      <c r="BT214">
        <f t="shared" si="14"/>
        <v>0.78000000000000069</v>
      </c>
      <c r="BU214" s="39">
        <f t="shared" ca="1" si="15"/>
        <v>6.014717383639416E-2</v>
      </c>
      <c r="BV214" s="39">
        <f t="shared" ca="1" si="13"/>
        <v>2.4061677194420185E-2</v>
      </c>
    </row>
    <row r="215" spans="54:74" x14ac:dyDescent="0.2">
      <c r="BB215" s="26">
        <v>-2.7749999999999915</v>
      </c>
      <c r="BC215" s="13"/>
      <c r="BE215" s="12"/>
      <c r="BF215" s="26"/>
      <c r="BS215">
        <v>0.2099999999999993</v>
      </c>
      <c r="BT215">
        <f t="shared" si="14"/>
        <v>0.7900000000000007</v>
      </c>
      <c r="BU215" s="39">
        <f t="shared" ca="1" si="15"/>
        <v>6.0918291449681264E-2</v>
      </c>
      <c r="BV215" s="39">
        <f t="shared" ca="1" si="13"/>
        <v>2.4338108953323008E-2</v>
      </c>
    </row>
    <row r="216" spans="54:74" x14ac:dyDescent="0.2">
      <c r="BB216" s="26">
        <v>-2.7999999999999914</v>
      </c>
      <c r="BC216" s="13"/>
      <c r="BE216" s="12"/>
      <c r="BF216" s="26"/>
      <c r="BS216">
        <v>0.19999999999999929</v>
      </c>
      <c r="BT216">
        <f t="shared" si="14"/>
        <v>0.80000000000000071</v>
      </c>
      <c r="BU216" s="39">
        <f t="shared" ca="1" si="15"/>
        <v>6.1689409062968367E-2</v>
      </c>
      <c r="BV216" s="39">
        <f t="shared" ca="1" si="13"/>
        <v>2.4614540712225831E-2</v>
      </c>
    </row>
    <row r="217" spans="54:74" x14ac:dyDescent="0.2">
      <c r="BB217" s="26">
        <v>-2.8249999999999913</v>
      </c>
      <c r="BC217" s="13"/>
      <c r="BE217" s="12"/>
      <c r="BF217" s="26"/>
      <c r="BS217">
        <v>0.18999999999999928</v>
      </c>
      <c r="BT217">
        <f t="shared" si="14"/>
        <v>0.81000000000000072</v>
      </c>
      <c r="BU217" s="39">
        <f t="shared" ca="1" si="15"/>
        <v>6.2460526676255471E-2</v>
      </c>
      <c r="BV217" s="39">
        <f t="shared" ca="1" si="13"/>
        <v>2.4890972471128658E-2</v>
      </c>
    </row>
    <row r="218" spans="54:74" x14ac:dyDescent="0.2">
      <c r="BB218" s="26">
        <v>-2.8499999999999912</v>
      </c>
      <c r="BC218" s="13"/>
      <c r="BE218" s="12"/>
      <c r="BF218" s="26"/>
      <c r="BS218">
        <v>0.17999999999999927</v>
      </c>
      <c r="BT218">
        <f t="shared" si="14"/>
        <v>0.82000000000000073</v>
      </c>
      <c r="BU218" s="39">
        <f t="shared" ca="1" si="15"/>
        <v>6.3231644289542574E-2</v>
      </c>
      <c r="BV218" s="39">
        <f t="shared" ca="1" si="13"/>
        <v>2.5167404230031477E-2</v>
      </c>
    </row>
    <row r="219" spans="54:74" x14ac:dyDescent="0.2">
      <c r="BB219" s="26">
        <v>-2.8749999999999911</v>
      </c>
      <c r="BC219" s="13"/>
      <c r="BE219" s="12"/>
      <c r="BF219" s="26"/>
      <c r="BS219">
        <v>0.16999999999999926</v>
      </c>
      <c r="BT219">
        <f t="shared" si="14"/>
        <v>0.83000000000000074</v>
      </c>
      <c r="BU219" s="39">
        <f t="shared" ca="1" si="15"/>
        <v>6.4002761902829677E-2</v>
      </c>
      <c r="BV219" s="39">
        <f t="shared" ca="1" si="13"/>
        <v>2.54438359889343E-2</v>
      </c>
    </row>
    <row r="220" spans="54:74" x14ac:dyDescent="0.2">
      <c r="BB220" s="26">
        <v>-2.899999999999991</v>
      </c>
      <c r="BC220" s="13"/>
      <c r="BE220" s="12"/>
      <c r="BF220" s="26"/>
      <c r="BS220">
        <v>0.15999999999999925</v>
      </c>
      <c r="BT220">
        <f t="shared" si="14"/>
        <v>0.84000000000000075</v>
      </c>
      <c r="BU220" s="39">
        <f t="shared" ca="1" si="15"/>
        <v>6.4773879516116795E-2</v>
      </c>
      <c r="BV220" s="39">
        <f t="shared" ca="1" si="13"/>
        <v>2.5720267747837124E-2</v>
      </c>
    </row>
    <row r="221" spans="54:74" x14ac:dyDescent="0.2">
      <c r="BB221" s="26">
        <v>-2.9249999999999909</v>
      </c>
      <c r="BC221" s="13"/>
      <c r="BE221" s="12"/>
      <c r="BF221" s="26"/>
      <c r="BS221">
        <v>0.14999999999999925</v>
      </c>
      <c r="BT221">
        <f t="shared" si="14"/>
        <v>0.85000000000000075</v>
      </c>
      <c r="BU221" s="39">
        <f t="shared" ca="1" si="15"/>
        <v>6.5544997129403898E-2</v>
      </c>
      <c r="BV221" s="39">
        <f t="shared" ca="1" si="13"/>
        <v>2.5996699506739947E-2</v>
      </c>
    </row>
    <row r="222" spans="54:74" x14ac:dyDescent="0.2">
      <c r="BB222" s="26">
        <v>-2.9499999999999909</v>
      </c>
      <c r="BC222" s="13"/>
      <c r="BE222" s="12"/>
      <c r="BF222" s="26"/>
      <c r="BS222">
        <v>0.13999999999999924</v>
      </c>
      <c r="BT222">
        <f t="shared" si="14"/>
        <v>0.86000000000000076</v>
      </c>
      <c r="BU222" s="39">
        <f t="shared" ca="1" si="15"/>
        <v>6.6316114742691001E-2</v>
      </c>
      <c r="BV222" s="39">
        <f t="shared" ca="1" si="13"/>
        <v>2.627313126564277E-2</v>
      </c>
    </row>
    <row r="223" spans="54:74" x14ac:dyDescent="0.2">
      <c r="BB223" s="26">
        <v>-2.9749999999999908</v>
      </c>
      <c r="BC223" s="13"/>
      <c r="BE223" s="12"/>
      <c r="BF223" s="26"/>
      <c r="BS223">
        <v>0.12999999999999923</v>
      </c>
      <c r="BT223">
        <f t="shared" si="14"/>
        <v>0.87000000000000077</v>
      </c>
      <c r="BU223" s="39">
        <f t="shared" ca="1" si="15"/>
        <v>6.7087232355978105E-2</v>
      </c>
      <c r="BV223" s="39">
        <f t="shared" ca="1" si="13"/>
        <v>2.6549563024545593E-2</v>
      </c>
    </row>
    <row r="224" spans="54:74" x14ac:dyDescent="0.2">
      <c r="BS224">
        <v>0.11999999999999923</v>
      </c>
      <c r="BT224">
        <f t="shared" si="14"/>
        <v>0.88000000000000078</v>
      </c>
      <c r="BU224" s="39">
        <f t="shared" ca="1" si="15"/>
        <v>6.7858349969265208E-2</v>
      </c>
      <c r="BV224" s="39">
        <f t="shared" ca="1" si="13"/>
        <v>2.6825994783448416E-2</v>
      </c>
    </row>
    <row r="225" spans="55:74" x14ac:dyDescent="0.2">
      <c r="BS225">
        <v>0.10999999999999924</v>
      </c>
      <c r="BT225">
        <f t="shared" si="14"/>
        <v>0.89000000000000079</v>
      </c>
      <c r="BU225" s="39">
        <f t="shared" ca="1" si="15"/>
        <v>6.8629467582552311E-2</v>
      </c>
      <c r="BV225" s="39">
        <f t="shared" ca="1" si="13"/>
        <v>2.7102426542351239E-2</v>
      </c>
    </row>
    <row r="226" spans="55:74" x14ac:dyDescent="0.2">
      <c r="BD226" s="35" t="s">
        <v>96</v>
      </c>
      <c r="BE226" s="26" cm="1">
        <f t="array" aca="1" ref="BE226:BE230" ca="1">TRANSPOSE(BA17:BE17)</f>
        <v>5.3968239065203684E-2</v>
      </c>
      <c r="BF226" s="26" cm="1">
        <f t="array" aca="1" ref="BF226:BF230" ca="1">TRANSPOSE(BA18:BE18)</f>
        <v>1.1143211146830511E-2</v>
      </c>
      <c r="BS226">
        <v>9.9999999999999242E-2</v>
      </c>
      <c r="BT226">
        <f t="shared" si="14"/>
        <v>0.9000000000000008</v>
      </c>
      <c r="BU226" s="39">
        <f t="shared" ca="1" si="15"/>
        <v>6.9400585195839415E-2</v>
      </c>
      <c r="BV226" s="39">
        <f t="shared" ca="1" si="13"/>
        <v>2.7378858301254059E-2</v>
      </c>
    </row>
    <row r="227" spans="55:74" x14ac:dyDescent="0.2">
      <c r="BD227" s="22" t="s">
        <v>31</v>
      </c>
      <c r="BE227" s="26">
        <f ca="1"/>
        <v>3.4772521631947065E-2</v>
      </c>
      <c r="BF227" s="26">
        <f ca="1"/>
        <v>8.1210708966344483E-3</v>
      </c>
      <c r="BS227">
        <v>8.9999999999999247E-2</v>
      </c>
      <c r="BT227">
        <f t="shared" si="14"/>
        <v>0.91000000000000081</v>
      </c>
      <c r="BU227" s="39">
        <f t="shared" ca="1" si="15"/>
        <v>7.0171702809126518E-2</v>
      </c>
      <c r="BV227" s="39">
        <f t="shared" ca="1" si="13"/>
        <v>2.7655290060156885E-2</v>
      </c>
    </row>
    <row r="228" spans="55:74" x14ac:dyDescent="0.2">
      <c r="BD228" s="22" t="s">
        <v>44</v>
      </c>
      <c r="BE228" s="26">
        <f ca="1"/>
        <v>3.6032490198326751E-2</v>
      </c>
      <c r="BF228" s="26">
        <f ca="1"/>
        <v>1.1143211146830511E-2</v>
      </c>
      <c r="BS228">
        <v>7.9999999999999252E-2</v>
      </c>
      <c r="BT228">
        <f t="shared" si="14"/>
        <v>0.92000000000000071</v>
      </c>
      <c r="BU228" s="39">
        <f t="shared" ca="1" si="15"/>
        <v>7.0942820422413622E-2</v>
      </c>
      <c r="BV228" s="39">
        <f t="shared" ca="1" si="13"/>
        <v>2.7931721819059705E-2</v>
      </c>
    </row>
    <row r="229" spans="55:74" x14ac:dyDescent="0.2">
      <c r="BD229" s="22" t="s">
        <v>93</v>
      </c>
      <c r="BE229" s="26">
        <f ca="1"/>
        <v>5.0866935193673662E-2</v>
      </c>
      <c r="BF229" s="26">
        <f ca="1"/>
        <v>1.1143211146830511E-2</v>
      </c>
      <c r="BS229">
        <v>6.9999999999999257E-2</v>
      </c>
      <c r="BT229">
        <f t="shared" si="14"/>
        <v>0.93000000000000071</v>
      </c>
      <c r="BU229" s="39">
        <f t="shared" ca="1" si="15"/>
        <v>7.1713938035700725E-2</v>
      </c>
      <c r="BV229" s="39">
        <f t="shared" ca="1" si="13"/>
        <v>2.8208153577962528E-2</v>
      </c>
    </row>
    <row r="230" spans="55:74" x14ac:dyDescent="0.2">
      <c r="BD230" s="22" t="s">
        <v>45</v>
      </c>
      <c r="BE230" s="26">
        <f ca="1"/>
        <v>7.7111761328710393E-2</v>
      </c>
      <c r="BF230" s="26">
        <f ca="1"/>
        <v>3.0143175890282266E-2</v>
      </c>
      <c r="BS230">
        <v>5.9999999999999255E-2</v>
      </c>
      <c r="BT230">
        <f t="shared" si="14"/>
        <v>0.94000000000000072</v>
      </c>
      <c r="BU230" s="39">
        <f t="shared" ca="1" si="15"/>
        <v>7.2485055648987828E-2</v>
      </c>
      <c r="BV230" s="39">
        <f t="shared" ca="1" si="13"/>
        <v>2.8484585336865348E-2</v>
      </c>
    </row>
    <row r="231" spans="55:74" x14ac:dyDescent="0.2">
      <c r="BD231" s="12" t="s">
        <v>97</v>
      </c>
      <c r="BE231" s="5">
        <v>0</v>
      </c>
      <c r="BF231" s="12">
        <f>RF</f>
        <v>2.5000000000000001E-3</v>
      </c>
      <c r="BS231">
        <v>4.9999999999999253E-2</v>
      </c>
      <c r="BT231">
        <f t="shared" si="14"/>
        <v>0.95000000000000073</v>
      </c>
      <c r="BU231" s="39">
        <f t="shared" ca="1" si="15"/>
        <v>7.3256173262274932E-2</v>
      </c>
      <c r="BV231" s="39">
        <f t="shared" ca="1" si="13"/>
        <v>2.8761017095768171E-2</v>
      </c>
    </row>
    <row r="232" spans="55:74" x14ac:dyDescent="0.2">
      <c r="BE232" s="26"/>
      <c r="BF232" s="26"/>
      <c r="BS232">
        <v>3.9999999999999251E-2</v>
      </c>
      <c r="BT232">
        <f t="shared" si="14"/>
        <v>0.96000000000000074</v>
      </c>
      <c r="BU232" s="39">
        <f t="shared" ca="1" si="15"/>
        <v>7.4027290875562035E-2</v>
      </c>
      <c r="BV232" s="39">
        <f t="shared" ref="BV232:BV263" ca="1" si="16">BS232*RF+BT232*$BE$18</f>
        <v>2.9037448854670998E-2</v>
      </c>
    </row>
    <row r="233" spans="55:74" x14ac:dyDescent="0.2">
      <c r="BE233" s="26"/>
      <c r="BF233" s="26"/>
      <c r="BS233">
        <v>2.9999999999999249E-2</v>
      </c>
      <c r="BT233">
        <f t="shared" si="14"/>
        <v>0.97000000000000075</v>
      </c>
      <c r="BU233" s="39">
        <f t="shared" ca="1" si="15"/>
        <v>7.4798408488849139E-2</v>
      </c>
      <c r="BV233" s="39">
        <f t="shared" ca="1" si="16"/>
        <v>2.9313880613573821E-2</v>
      </c>
    </row>
    <row r="234" spans="55:74" x14ac:dyDescent="0.2">
      <c r="BC234" s="34"/>
      <c r="BD234" s="34"/>
      <c r="BE234" s="26"/>
      <c r="BF234" s="26"/>
      <c r="BS234">
        <v>1.9999999999999248E-2</v>
      </c>
      <c r="BT234">
        <f t="shared" si="14"/>
        <v>0.98000000000000076</v>
      </c>
      <c r="BU234" s="39">
        <f t="shared" ca="1" si="15"/>
        <v>7.5569526102136242E-2</v>
      </c>
      <c r="BV234" s="39">
        <f t="shared" ca="1" si="16"/>
        <v>2.959031237247664E-2</v>
      </c>
    </row>
    <row r="235" spans="55:74" x14ac:dyDescent="0.2">
      <c r="BE235" s="26"/>
      <c r="BF235" s="26"/>
      <c r="BS235">
        <v>9.9999999999992473E-3</v>
      </c>
      <c r="BT235">
        <f t="shared" si="14"/>
        <v>0.99000000000000077</v>
      </c>
      <c r="BU235" s="39">
        <f t="shared" ca="1" si="15"/>
        <v>7.6340643715423345E-2</v>
      </c>
      <c r="BV235" s="39">
        <f t="shared" ca="1" si="16"/>
        <v>2.9866744131379463E-2</v>
      </c>
    </row>
    <row r="236" spans="55:74" x14ac:dyDescent="0.2">
      <c r="BS236">
        <v>-7.5286998857393428E-16</v>
      </c>
      <c r="BT236">
        <f t="shared" si="14"/>
        <v>1.0000000000000007</v>
      </c>
      <c r="BU236" s="39">
        <f t="shared" ca="1" si="15"/>
        <v>7.7111761328710449E-2</v>
      </c>
      <c r="BV236" s="39">
        <f t="shared" ca="1" si="16"/>
        <v>3.0143175890282283E-2</v>
      </c>
    </row>
    <row r="237" spans="55:74" x14ac:dyDescent="0.2">
      <c r="BS237">
        <v>-1.0000000000000753E-2</v>
      </c>
      <c r="BT237">
        <f t="shared" si="14"/>
        <v>1.0100000000000007</v>
      </c>
      <c r="BU237" s="39">
        <f t="shared" ca="1" si="15"/>
        <v>7.7882878941997552E-2</v>
      </c>
      <c r="BV237" s="39">
        <f t="shared" ca="1" si="16"/>
        <v>3.041960764918511E-2</v>
      </c>
    </row>
    <row r="238" spans="55:74" x14ac:dyDescent="0.2">
      <c r="BS238">
        <v>-2.0000000000000753E-2</v>
      </c>
      <c r="BT238">
        <f t="shared" si="14"/>
        <v>1.0200000000000007</v>
      </c>
      <c r="BU238" s="39">
        <f t="shared" ca="1" si="15"/>
        <v>7.8653996555284655E-2</v>
      </c>
      <c r="BV238" s="39">
        <f t="shared" ca="1" si="16"/>
        <v>3.0696039408087929E-2</v>
      </c>
    </row>
    <row r="239" spans="55:74" x14ac:dyDescent="0.2">
      <c r="BS239">
        <v>-3.0000000000000755E-2</v>
      </c>
      <c r="BT239">
        <f t="shared" si="14"/>
        <v>1.0300000000000007</v>
      </c>
      <c r="BU239" s="39">
        <f t="shared" ca="1" si="15"/>
        <v>7.9425114168571759E-2</v>
      </c>
      <c r="BV239" s="39">
        <f t="shared" ca="1" si="16"/>
        <v>3.0972471166990753E-2</v>
      </c>
    </row>
    <row r="240" spans="55:74" x14ac:dyDescent="0.2">
      <c r="BS240">
        <v>-4.0000000000000757E-2</v>
      </c>
      <c r="BT240">
        <f t="shared" si="14"/>
        <v>1.0400000000000007</v>
      </c>
      <c r="BU240" s="39">
        <f t="shared" ca="1" si="15"/>
        <v>8.0196231781858862E-2</v>
      </c>
      <c r="BV240" s="39">
        <f t="shared" ca="1" si="16"/>
        <v>3.1248902925893572E-2</v>
      </c>
    </row>
    <row r="241" spans="71:74" x14ac:dyDescent="0.2">
      <c r="BS241">
        <v>-5.0000000000000759E-2</v>
      </c>
      <c r="BT241">
        <f t="shared" si="14"/>
        <v>1.0500000000000007</v>
      </c>
      <c r="BU241" s="39">
        <f t="shared" ca="1" si="15"/>
        <v>8.0967349395145966E-2</v>
      </c>
      <c r="BV241" s="39">
        <f t="shared" ca="1" si="16"/>
        <v>3.1525334684796402E-2</v>
      </c>
    </row>
    <row r="242" spans="71:74" x14ac:dyDescent="0.2">
      <c r="BS242">
        <v>-6.0000000000000761E-2</v>
      </c>
      <c r="BT242">
        <f t="shared" si="14"/>
        <v>1.0600000000000007</v>
      </c>
      <c r="BU242" s="39">
        <f t="shared" ca="1" si="15"/>
        <v>8.1738467008433069E-2</v>
      </c>
      <c r="BV242" s="39">
        <f t="shared" ca="1" si="16"/>
        <v>3.1801766443699218E-2</v>
      </c>
    </row>
    <row r="243" spans="71:74" x14ac:dyDescent="0.2">
      <c r="BS243">
        <v>-7.0000000000000756E-2</v>
      </c>
      <c r="BT243">
        <f t="shared" si="14"/>
        <v>1.0700000000000007</v>
      </c>
      <c r="BU243" s="39">
        <f t="shared" ca="1" si="15"/>
        <v>8.2509584621720172E-2</v>
      </c>
      <c r="BV243" s="39">
        <f t="shared" ca="1" si="16"/>
        <v>3.2078198202602042E-2</v>
      </c>
    </row>
    <row r="244" spans="71:74" x14ac:dyDescent="0.2">
      <c r="BS244">
        <v>-8.0000000000000751E-2</v>
      </c>
      <c r="BT244">
        <f t="shared" si="14"/>
        <v>1.0800000000000007</v>
      </c>
      <c r="BU244" s="39">
        <f t="shared" ca="1" si="15"/>
        <v>8.3280702235007276E-2</v>
      </c>
      <c r="BV244" s="39">
        <f t="shared" ca="1" si="16"/>
        <v>3.2354629961504872E-2</v>
      </c>
    </row>
    <row r="245" spans="71:74" x14ac:dyDescent="0.2">
      <c r="BS245">
        <v>-9.0000000000000746E-2</v>
      </c>
      <c r="BT245">
        <f t="shared" si="14"/>
        <v>1.0900000000000007</v>
      </c>
      <c r="BU245" s="39">
        <f t="shared" ca="1" si="15"/>
        <v>8.4051819848294393E-2</v>
      </c>
      <c r="BV245" s="39">
        <f t="shared" ca="1" si="16"/>
        <v>3.2631061720407688E-2</v>
      </c>
    </row>
    <row r="246" spans="71:74" x14ac:dyDescent="0.2">
      <c r="BS246">
        <v>-0.10000000000000074</v>
      </c>
      <c r="BT246">
        <f t="shared" si="14"/>
        <v>1.1000000000000008</v>
      </c>
      <c r="BU246" s="39">
        <f t="shared" ca="1" si="15"/>
        <v>8.4822937461581496E-2</v>
      </c>
      <c r="BV246" s="39">
        <f t="shared" ca="1" si="16"/>
        <v>3.2907493479310518E-2</v>
      </c>
    </row>
    <row r="247" spans="71:74" x14ac:dyDescent="0.2">
      <c r="BS247">
        <v>-0.11000000000000074</v>
      </c>
      <c r="BT247">
        <f t="shared" si="14"/>
        <v>1.1100000000000008</v>
      </c>
      <c r="BU247" s="39">
        <f t="shared" ca="1" si="15"/>
        <v>8.55940550748686E-2</v>
      </c>
      <c r="BV247" s="39">
        <f t="shared" ca="1" si="16"/>
        <v>3.3183925238213334E-2</v>
      </c>
    </row>
    <row r="248" spans="71:74" x14ac:dyDescent="0.2">
      <c r="BS248">
        <v>-0.12000000000000073</v>
      </c>
      <c r="BT248">
        <f t="shared" si="14"/>
        <v>1.1200000000000008</v>
      </c>
      <c r="BU248" s="39">
        <f t="shared" ca="1" si="15"/>
        <v>8.6365172688155703E-2</v>
      </c>
      <c r="BV248" s="39">
        <f t="shared" ca="1" si="16"/>
        <v>3.3460356997116157E-2</v>
      </c>
    </row>
    <row r="249" spans="71:74" x14ac:dyDescent="0.2">
      <c r="BS249">
        <v>-0.13000000000000073</v>
      </c>
      <c r="BT249">
        <f t="shared" si="14"/>
        <v>1.1300000000000008</v>
      </c>
      <c r="BU249" s="39">
        <f t="shared" ca="1" si="15"/>
        <v>8.7136290301442806E-2</v>
      </c>
      <c r="BV249" s="39">
        <f t="shared" ca="1" si="16"/>
        <v>3.3736788756018987E-2</v>
      </c>
    </row>
    <row r="250" spans="71:74" x14ac:dyDescent="0.2">
      <c r="BS250">
        <v>-0.14000000000000073</v>
      </c>
      <c r="BT250">
        <f t="shared" si="14"/>
        <v>1.1400000000000008</v>
      </c>
      <c r="BU250" s="39">
        <f t="shared" ca="1" si="15"/>
        <v>8.790740791472991E-2</v>
      </c>
      <c r="BV250" s="39">
        <f t="shared" ca="1" si="16"/>
        <v>3.4013220514921803E-2</v>
      </c>
    </row>
    <row r="251" spans="71:74" x14ac:dyDescent="0.2">
      <c r="BS251">
        <v>-0.15000000000000074</v>
      </c>
      <c r="BT251">
        <f t="shared" si="14"/>
        <v>1.1500000000000008</v>
      </c>
      <c r="BU251" s="39">
        <f t="shared" ca="1" si="15"/>
        <v>8.8678525528017013E-2</v>
      </c>
      <c r="BV251" s="39">
        <f t="shared" ca="1" si="16"/>
        <v>3.4289652273824626E-2</v>
      </c>
    </row>
    <row r="252" spans="71:74" x14ac:dyDescent="0.2">
      <c r="BS252">
        <v>-0.16000000000000075</v>
      </c>
      <c r="BT252">
        <f t="shared" si="14"/>
        <v>1.1600000000000008</v>
      </c>
      <c r="BU252" s="39">
        <f t="shared" ca="1" si="15"/>
        <v>8.9449643141304117E-2</v>
      </c>
      <c r="BV252" s="39">
        <f t="shared" ca="1" si="16"/>
        <v>3.456608403272745E-2</v>
      </c>
    </row>
    <row r="253" spans="71:74" x14ac:dyDescent="0.2">
      <c r="BS253">
        <v>-0.17000000000000076</v>
      </c>
      <c r="BT253">
        <f t="shared" si="14"/>
        <v>1.1700000000000008</v>
      </c>
      <c r="BU253" s="39">
        <f t="shared" ca="1" si="15"/>
        <v>9.022076075459122E-2</v>
      </c>
      <c r="BV253" s="39">
        <f t="shared" ca="1" si="16"/>
        <v>3.4842515791630273E-2</v>
      </c>
    </row>
    <row r="254" spans="71:74" x14ac:dyDescent="0.2">
      <c r="BS254">
        <v>-0.18000000000000077</v>
      </c>
      <c r="BT254">
        <f t="shared" si="14"/>
        <v>1.1800000000000008</v>
      </c>
      <c r="BU254" s="39">
        <f t="shared" ca="1" si="15"/>
        <v>9.0991878367878323E-2</v>
      </c>
      <c r="BV254" s="39">
        <f t="shared" ca="1" si="16"/>
        <v>3.5118947550533103E-2</v>
      </c>
    </row>
    <row r="255" spans="71:74" x14ac:dyDescent="0.2">
      <c r="BS255">
        <v>-0.19000000000000078</v>
      </c>
      <c r="BT255">
        <f t="shared" si="14"/>
        <v>1.1900000000000008</v>
      </c>
      <c r="BU255" s="39">
        <f t="shared" ca="1" si="15"/>
        <v>9.1762995981165427E-2</v>
      </c>
      <c r="BV255" s="39">
        <f t="shared" ca="1" si="16"/>
        <v>3.5395379309435919E-2</v>
      </c>
    </row>
    <row r="256" spans="71:74" x14ac:dyDescent="0.2">
      <c r="BS256">
        <v>-0.20000000000000079</v>
      </c>
      <c r="BT256">
        <f t="shared" si="14"/>
        <v>1.2000000000000008</v>
      </c>
      <c r="BU256" s="39">
        <f t="shared" ca="1" si="15"/>
        <v>9.253411359445253E-2</v>
      </c>
      <c r="BV256" s="39">
        <f t="shared" ca="1" si="16"/>
        <v>3.5671811068338742E-2</v>
      </c>
    </row>
    <row r="257" spans="71:74" x14ac:dyDescent="0.2">
      <c r="BS257">
        <v>-0.2100000000000008</v>
      </c>
      <c r="BT257">
        <f t="shared" si="14"/>
        <v>1.2100000000000009</v>
      </c>
      <c r="BU257" s="39">
        <f t="shared" ca="1" si="15"/>
        <v>9.3305231207739647E-2</v>
      </c>
      <c r="BV257" s="39">
        <f t="shared" ca="1" si="16"/>
        <v>3.5948242827241565E-2</v>
      </c>
    </row>
    <row r="258" spans="71:74" x14ac:dyDescent="0.2">
      <c r="BS258">
        <v>-0.22000000000000081</v>
      </c>
      <c r="BT258">
        <f t="shared" si="14"/>
        <v>1.2200000000000009</v>
      </c>
      <c r="BU258" s="39">
        <f t="shared" ca="1" si="15"/>
        <v>9.4076348821026751E-2</v>
      </c>
      <c r="BV258" s="39">
        <f t="shared" ca="1" si="16"/>
        <v>3.6224674586144388E-2</v>
      </c>
    </row>
    <row r="259" spans="71:74" x14ac:dyDescent="0.2">
      <c r="BS259">
        <v>-0.23000000000000081</v>
      </c>
      <c r="BT259">
        <f t="shared" si="14"/>
        <v>1.2300000000000009</v>
      </c>
      <c r="BU259" s="39">
        <f t="shared" ca="1" si="15"/>
        <v>9.4847466434313854E-2</v>
      </c>
      <c r="BV259" s="39">
        <f t="shared" ca="1" si="16"/>
        <v>3.6501106345047211E-2</v>
      </c>
    </row>
    <row r="260" spans="71:74" x14ac:dyDescent="0.2">
      <c r="BS260">
        <v>-0.24000000000000082</v>
      </c>
      <c r="BT260">
        <f t="shared" si="14"/>
        <v>1.2400000000000009</v>
      </c>
      <c r="BU260" s="39">
        <f t="shared" ca="1" si="15"/>
        <v>9.5618584047600957E-2</v>
      </c>
      <c r="BV260" s="39">
        <f t="shared" ca="1" si="16"/>
        <v>3.6777538103950035E-2</v>
      </c>
    </row>
    <row r="261" spans="71:74" x14ac:dyDescent="0.2">
      <c r="BS261">
        <v>-0.25000000000000083</v>
      </c>
      <c r="BT261">
        <f t="shared" si="14"/>
        <v>1.2500000000000009</v>
      </c>
      <c r="BU261" s="39">
        <f t="shared" ca="1" si="15"/>
        <v>9.6389701660888061E-2</v>
      </c>
      <c r="BV261" s="39">
        <f t="shared" ca="1" si="16"/>
        <v>3.7053969862852858E-2</v>
      </c>
    </row>
    <row r="262" spans="71:74" x14ac:dyDescent="0.2">
      <c r="BS262">
        <v>-0.26000000000000084</v>
      </c>
      <c r="BT262">
        <f t="shared" si="14"/>
        <v>1.2600000000000009</v>
      </c>
      <c r="BU262" s="39">
        <f t="shared" ca="1" si="15"/>
        <v>9.7160819274175164E-2</v>
      </c>
      <c r="BV262" s="39">
        <f t="shared" ca="1" si="16"/>
        <v>3.7330401621755674E-2</v>
      </c>
    </row>
    <row r="263" spans="71:74" x14ac:dyDescent="0.2">
      <c r="BS263">
        <v>-0.27000000000000085</v>
      </c>
      <c r="BT263">
        <f t="shared" si="14"/>
        <v>1.2700000000000009</v>
      </c>
      <c r="BU263" s="39">
        <f t="shared" ca="1" si="15"/>
        <v>9.7931936887462268E-2</v>
      </c>
      <c r="BV263" s="39">
        <f t="shared" ca="1" si="16"/>
        <v>3.7606833380658504E-2</v>
      </c>
    </row>
    <row r="264" spans="71:74" x14ac:dyDescent="0.2">
      <c r="BS264">
        <v>-0.28000000000000086</v>
      </c>
      <c r="BT264">
        <f t="shared" si="14"/>
        <v>1.2800000000000009</v>
      </c>
      <c r="BU264" s="39">
        <f t="shared" ca="1" si="15"/>
        <v>9.8703054500749371E-2</v>
      </c>
      <c r="BV264" s="39">
        <f t="shared" ref="BV264:BV295" ca="1" si="17">BS264*RF+BT264*$BE$18</f>
        <v>3.7883265139561327E-2</v>
      </c>
    </row>
    <row r="265" spans="71:74" x14ac:dyDescent="0.2">
      <c r="BS265">
        <v>-0.29000000000000087</v>
      </c>
      <c r="BT265">
        <f t="shared" ref="BT265:BT285" si="18">1-BS265</f>
        <v>1.2900000000000009</v>
      </c>
      <c r="BU265" s="39">
        <f t="shared" ref="BU265:BU328" ca="1" si="19">BT265*$BE$17</f>
        <v>9.9474172114036474E-2</v>
      </c>
      <c r="BV265" s="39">
        <f t="shared" ca="1" si="17"/>
        <v>3.815969689846415E-2</v>
      </c>
    </row>
    <row r="266" spans="71:74" x14ac:dyDescent="0.2">
      <c r="BS266">
        <v>-0.30000000000000088</v>
      </c>
      <c r="BT266">
        <f t="shared" si="18"/>
        <v>1.3000000000000009</v>
      </c>
      <c r="BU266" s="39">
        <f t="shared" ca="1" si="19"/>
        <v>0.10024528972732358</v>
      </c>
      <c r="BV266" s="39">
        <f t="shared" ca="1" si="17"/>
        <v>3.8436128657366973E-2</v>
      </c>
    </row>
    <row r="267" spans="71:74" x14ac:dyDescent="0.2">
      <c r="BS267">
        <v>-0.31000000000000089</v>
      </c>
      <c r="BT267">
        <f t="shared" si="18"/>
        <v>1.3100000000000009</v>
      </c>
      <c r="BU267" s="39">
        <f t="shared" ca="1" si="19"/>
        <v>0.10101640734061068</v>
      </c>
      <c r="BV267" s="39">
        <f t="shared" ca="1" si="17"/>
        <v>3.8712560416269789E-2</v>
      </c>
    </row>
    <row r="268" spans="71:74" x14ac:dyDescent="0.2">
      <c r="BS268">
        <v>-0.32000000000000089</v>
      </c>
      <c r="BT268">
        <f t="shared" si="18"/>
        <v>1.320000000000001</v>
      </c>
      <c r="BU268" s="39">
        <f t="shared" ca="1" si="19"/>
        <v>0.1017875249538978</v>
      </c>
      <c r="BV268" s="39">
        <f t="shared" ca="1" si="17"/>
        <v>3.898899217517262E-2</v>
      </c>
    </row>
    <row r="269" spans="71:74" x14ac:dyDescent="0.2">
      <c r="BS269">
        <v>-0.3300000000000009</v>
      </c>
      <c r="BT269">
        <f t="shared" si="18"/>
        <v>1.330000000000001</v>
      </c>
      <c r="BU269" s="39">
        <f t="shared" ca="1" si="19"/>
        <v>0.1025586425671849</v>
      </c>
      <c r="BV269" s="39">
        <f t="shared" ca="1" si="17"/>
        <v>3.9265423934075443E-2</v>
      </c>
    </row>
    <row r="270" spans="71:74" x14ac:dyDescent="0.2">
      <c r="BS270">
        <v>-0.34000000000000091</v>
      </c>
      <c r="BT270">
        <f t="shared" si="18"/>
        <v>1.340000000000001</v>
      </c>
      <c r="BU270" s="39">
        <f t="shared" ca="1" si="19"/>
        <v>0.10332976018047201</v>
      </c>
      <c r="BV270" s="39">
        <f t="shared" ca="1" si="17"/>
        <v>3.9541855692978259E-2</v>
      </c>
    </row>
    <row r="271" spans="71:74" x14ac:dyDescent="0.2">
      <c r="BS271">
        <v>-0.35000000000000092</v>
      </c>
      <c r="BT271">
        <f t="shared" si="18"/>
        <v>1.350000000000001</v>
      </c>
      <c r="BU271" s="39">
        <f t="shared" ca="1" si="19"/>
        <v>0.10410087779375911</v>
      </c>
      <c r="BV271" s="39">
        <f t="shared" ca="1" si="17"/>
        <v>3.9818287451881089E-2</v>
      </c>
    </row>
    <row r="272" spans="71:74" x14ac:dyDescent="0.2">
      <c r="BS272">
        <v>-0.36000000000000093</v>
      </c>
      <c r="BT272">
        <f t="shared" si="18"/>
        <v>1.360000000000001</v>
      </c>
      <c r="BU272" s="39">
        <f t="shared" ca="1" si="19"/>
        <v>0.10487199540704621</v>
      </c>
      <c r="BV272" s="39">
        <f t="shared" ca="1" si="17"/>
        <v>4.0094719210783905E-2</v>
      </c>
    </row>
    <row r="273" spans="71:74" x14ac:dyDescent="0.2">
      <c r="BS273">
        <v>-0.37000000000000094</v>
      </c>
      <c r="BT273">
        <f t="shared" si="18"/>
        <v>1.370000000000001</v>
      </c>
      <c r="BU273" s="39">
        <f t="shared" ca="1" si="19"/>
        <v>0.10564311302033332</v>
      </c>
      <c r="BV273" s="39">
        <f t="shared" ca="1" si="17"/>
        <v>4.0371150969686735E-2</v>
      </c>
    </row>
    <row r="274" spans="71:74" x14ac:dyDescent="0.2">
      <c r="BS274">
        <v>-0.38000000000000095</v>
      </c>
      <c r="BT274">
        <f t="shared" si="18"/>
        <v>1.380000000000001</v>
      </c>
      <c r="BU274" s="39">
        <f t="shared" ca="1" si="19"/>
        <v>0.10641423063362042</v>
      </c>
      <c r="BV274" s="39">
        <f t="shared" ca="1" si="17"/>
        <v>4.0647582728589558E-2</v>
      </c>
    </row>
    <row r="275" spans="71:74" x14ac:dyDescent="0.2">
      <c r="BS275">
        <v>-0.39000000000000096</v>
      </c>
      <c r="BT275">
        <f t="shared" si="18"/>
        <v>1.390000000000001</v>
      </c>
      <c r="BU275" s="39">
        <f t="shared" ca="1" si="19"/>
        <v>0.10718534824690752</v>
      </c>
      <c r="BV275" s="39">
        <f t="shared" ca="1" si="17"/>
        <v>4.0924014487492374E-2</v>
      </c>
    </row>
    <row r="276" spans="71:74" x14ac:dyDescent="0.2">
      <c r="BS276">
        <v>-0.40000000000000097</v>
      </c>
      <c r="BT276">
        <f t="shared" si="18"/>
        <v>1.400000000000001</v>
      </c>
      <c r="BU276" s="39">
        <f t="shared" ca="1" si="19"/>
        <v>0.10795646586019463</v>
      </c>
      <c r="BV276" s="39">
        <f t="shared" ca="1" si="17"/>
        <v>4.1200446246395205E-2</v>
      </c>
    </row>
    <row r="277" spans="71:74" x14ac:dyDescent="0.2">
      <c r="BS277">
        <v>-0.41000000000000097</v>
      </c>
      <c r="BT277">
        <f t="shared" si="18"/>
        <v>1.410000000000001</v>
      </c>
      <c r="BU277" s="39">
        <f t="shared" ca="1" si="19"/>
        <v>0.10872758347348173</v>
      </c>
      <c r="BV277" s="39">
        <f t="shared" ca="1" si="17"/>
        <v>4.1476878005298021E-2</v>
      </c>
    </row>
    <row r="278" spans="71:74" x14ac:dyDescent="0.2">
      <c r="BS278">
        <v>-0.42000000000000098</v>
      </c>
      <c r="BT278">
        <f t="shared" si="18"/>
        <v>1.420000000000001</v>
      </c>
      <c r="BU278" s="39">
        <f t="shared" ca="1" si="19"/>
        <v>0.10949870108676883</v>
      </c>
      <c r="BV278" s="39">
        <f t="shared" ca="1" si="17"/>
        <v>4.1753309764200844E-2</v>
      </c>
    </row>
    <row r="279" spans="71:74" x14ac:dyDescent="0.2">
      <c r="BS279">
        <v>-0.43000000000000099</v>
      </c>
      <c r="BT279">
        <f t="shared" si="18"/>
        <v>1.430000000000001</v>
      </c>
      <c r="BU279" s="39">
        <f t="shared" ca="1" si="19"/>
        <v>0.11026981870005595</v>
      </c>
      <c r="BV279" s="39">
        <f t="shared" ca="1" si="17"/>
        <v>4.2029741523103674E-2</v>
      </c>
    </row>
    <row r="280" spans="71:74" x14ac:dyDescent="0.2">
      <c r="BS280">
        <v>-0.440000000000001</v>
      </c>
      <c r="BT280">
        <f t="shared" si="18"/>
        <v>1.4400000000000011</v>
      </c>
      <c r="BU280" s="39">
        <f t="shared" ca="1" si="19"/>
        <v>0.11104093631334305</v>
      </c>
      <c r="BV280" s="39">
        <f t="shared" ca="1" si="17"/>
        <v>4.230617328200649E-2</v>
      </c>
    </row>
    <row r="281" spans="71:74" x14ac:dyDescent="0.2">
      <c r="BS281">
        <v>-0.45000000000000101</v>
      </c>
      <c r="BT281">
        <f t="shared" si="18"/>
        <v>1.4500000000000011</v>
      </c>
      <c r="BU281" s="39">
        <f t="shared" ca="1" si="19"/>
        <v>0.11181205392663016</v>
      </c>
      <c r="BV281" s="39">
        <f t="shared" ca="1" si="17"/>
        <v>4.2582605040909313E-2</v>
      </c>
    </row>
    <row r="282" spans="71:74" x14ac:dyDescent="0.2">
      <c r="BS282">
        <v>-0.46000000000000102</v>
      </c>
      <c r="BT282">
        <f t="shared" si="18"/>
        <v>1.4600000000000011</v>
      </c>
      <c r="BU282" s="39">
        <f t="shared" ca="1" si="19"/>
        <v>0.11258317153991726</v>
      </c>
      <c r="BV282" s="39">
        <f t="shared" ca="1" si="17"/>
        <v>4.2859036799812136E-2</v>
      </c>
    </row>
    <row r="283" spans="71:74" x14ac:dyDescent="0.2">
      <c r="BS283">
        <v>-0.47000000000000103</v>
      </c>
      <c r="BT283">
        <f t="shared" si="18"/>
        <v>1.4700000000000011</v>
      </c>
      <c r="BU283" s="39">
        <f t="shared" ca="1" si="19"/>
        <v>0.11335428915320436</v>
      </c>
      <c r="BV283" s="39">
        <f t="shared" ca="1" si="17"/>
        <v>4.3135468558714959E-2</v>
      </c>
    </row>
    <row r="284" spans="71:74" x14ac:dyDescent="0.2">
      <c r="BS284">
        <v>-0.48000000000000104</v>
      </c>
      <c r="BT284">
        <f t="shared" si="18"/>
        <v>1.4800000000000011</v>
      </c>
      <c r="BU284" s="39">
        <f t="shared" ca="1" si="19"/>
        <v>0.11412540676649147</v>
      </c>
      <c r="BV284" s="39">
        <f t="shared" ca="1" si="17"/>
        <v>4.341190031761779E-2</v>
      </c>
    </row>
    <row r="285" spans="71:74" x14ac:dyDescent="0.2">
      <c r="BS285">
        <v>-0.49000000000000105</v>
      </c>
      <c r="BT285">
        <f t="shared" si="18"/>
        <v>1.4900000000000011</v>
      </c>
      <c r="BU285" s="39">
        <f t="shared" ca="1" si="19"/>
        <v>0.11489652437977857</v>
      </c>
      <c r="BV285" s="39">
        <f t="shared" ca="1" si="17"/>
        <v>4.3688332076520606E-2</v>
      </c>
    </row>
    <row r="286" spans="71:74" x14ac:dyDescent="0.2">
      <c r="BS286">
        <v>-0.500000000000001</v>
      </c>
      <c r="BT286">
        <f>1-BS286</f>
        <v>1.5000000000000009</v>
      </c>
      <c r="BU286" s="39">
        <f t="shared" ca="1" si="19"/>
        <v>0.11566764199306566</v>
      </c>
      <c r="BV286" s="39">
        <f t="shared" ca="1" si="17"/>
        <v>4.3964763835423422E-2</v>
      </c>
    </row>
    <row r="287" spans="71:74" x14ac:dyDescent="0.2">
      <c r="BS287">
        <v>-0.51000000000000101</v>
      </c>
      <c r="BT287">
        <f t="shared" ref="BT287:BT335" si="20">1-BS287</f>
        <v>1.5100000000000011</v>
      </c>
      <c r="BU287" s="39">
        <f t="shared" ca="1" si="19"/>
        <v>0.11643875960635278</v>
      </c>
      <c r="BV287" s="39">
        <f t="shared" ca="1" si="17"/>
        <v>4.4241195594326252E-2</v>
      </c>
    </row>
    <row r="288" spans="71:74" x14ac:dyDescent="0.2">
      <c r="BS288">
        <v>-0.52000000000000102</v>
      </c>
      <c r="BT288">
        <f t="shared" si="20"/>
        <v>1.5200000000000009</v>
      </c>
      <c r="BU288" s="39">
        <f t="shared" ca="1" si="19"/>
        <v>0.11720987721963987</v>
      </c>
      <c r="BV288" s="39">
        <f t="shared" ca="1" si="17"/>
        <v>4.4517627353229068E-2</v>
      </c>
    </row>
    <row r="289" spans="71:74" x14ac:dyDescent="0.2">
      <c r="BS289">
        <v>-0.53000000000000103</v>
      </c>
      <c r="BT289">
        <f t="shared" si="20"/>
        <v>1.5300000000000011</v>
      </c>
      <c r="BU289" s="39">
        <f t="shared" ca="1" si="19"/>
        <v>0.11798099483292698</v>
      </c>
      <c r="BV289" s="39">
        <f t="shared" ca="1" si="17"/>
        <v>4.4794059112131898E-2</v>
      </c>
    </row>
    <row r="290" spans="71:74" x14ac:dyDescent="0.2">
      <c r="BS290">
        <v>-0.54000000000000103</v>
      </c>
      <c r="BT290">
        <f t="shared" si="20"/>
        <v>1.5400000000000009</v>
      </c>
      <c r="BU290" s="39">
        <f t="shared" ca="1" si="19"/>
        <v>0.11875211244621407</v>
      </c>
      <c r="BV290" s="39">
        <f t="shared" ca="1" si="17"/>
        <v>4.5070490871034714E-2</v>
      </c>
    </row>
    <row r="291" spans="71:74" x14ac:dyDescent="0.2">
      <c r="BS291">
        <v>-0.55000000000000104</v>
      </c>
      <c r="BT291">
        <f t="shared" si="20"/>
        <v>1.5500000000000012</v>
      </c>
      <c r="BU291" s="39">
        <f t="shared" ca="1" si="19"/>
        <v>0.1195232300595012</v>
      </c>
      <c r="BV291" s="39">
        <f t="shared" ca="1" si="17"/>
        <v>4.5346922629937544E-2</v>
      </c>
    </row>
    <row r="292" spans="71:74" x14ac:dyDescent="0.2">
      <c r="BS292">
        <v>-0.56000000000000105</v>
      </c>
      <c r="BT292">
        <f t="shared" si="20"/>
        <v>1.5600000000000009</v>
      </c>
      <c r="BU292" s="39">
        <f t="shared" ca="1" si="19"/>
        <v>0.12029434767278828</v>
      </c>
      <c r="BV292" s="39">
        <f t="shared" ca="1" si="17"/>
        <v>4.5623354388840361E-2</v>
      </c>
    </row>
    <row r="293" spans="71:74" x14ac:dyDescent="0.2">
      <c r="BS293">
        <v>-0.57000000000000106</v>
      </c>
      <c r="BT293">
        <f t="shared" si="20"/>
        <v>1.5700000000000012</v>
      </c>
      <c r="BU293" s="39">
        <f t="shared" ca="1" si="19"/>
        <v>0.12106546528607541</v>
      </c>
      <c r="BV293" s="39">
        <f t="shared" ca="1" si="17"/>
        <v>4.5899786147743191E-2</v>
      </c>
    </row>
    <row r="294" spans="71:74" x14ac:dyDescent="0.2">
      <c r="BS294">
        <v>-0.58000000000000107</v>
      </c>
      <c r="BT294">
        <f t="shared" si="20"/>
        <v>1.580000000000001</v>
      </c>
      <c r="BU294" s="39">
        <f t="shared" ca="1" si="19"/>
        <v>0.1218365828993625</v>
      </c>
      <c r="BV294" s="39">
        <f t="shared" ca="1" si="17"/>
        <v>4.6176217906646007E-2</v>
      </c>
    </row>
    <row r="295" spans="71:74" x14ac:dyDescent="0.2">
      <c r="BS295">
        <v>-0.59000000000000108</v>
      </c>
      <c r="BT295">
        <f t="shared" si="20"/>
        <v>1.5900000000000012</v>
      </c>
      <c r="BU295" s="39">
        <f t="shared" ca="1" si="19"/>
        <v>0.12260770051264962</v>
      </c>
      <c r="BV295" s="39">
        <f t="shared" ca="1" si="17"/>
        <v>4.6452649665548837E-2</v>
      </c>
    </row>
    <row r="296" spans="71:74" x14ac:dyDescent="0.2">
      <c r="BS296">
        <v>-0.60000000000000109</v>
      </c>
      <c r="BT296">
        <f t="shared" si="20"/>
        <v>1.600000000000001</v>
      </c>
      <c r="BU296" s="39">
        <f t="shared" ca="1" si="19"/>
        <v>0.12337881812593671</v>
      </c>
      <c r="BV296" s="39">
        <f t="shared" ref="BV296:BV327" ca="1" si="21">BS296*RF+BT296*$BE$18</f>
        <v>4.6729081424451653E-2</v>
      </c>
    </row>
    <row r="297" spans="71:74" x14ac:dyDescent="0.2">
      <c r="BS297">
        <v>-0.6100000000000011</v>
      </c>
      <c r="BT297">
        <f t="shared" si="20"/>
        <v>1.6100000000000012</v>
      </c>
      <c r="BU297" s="39">
        <f t="shared" ca="1" si="19"/>
        <v>0.12414993573922382</v>
      </c>
      <c r="BV297" s="39">
        <f t="shared" ca="1" si="21"/>
        <v>4.7005513183354476E-2</v>
      </c>
    </row>
    <row r="298" spans="71:74" x14ac:dyDescent="0.2">
      <c r="BS298">
        <v>-0.62000000000000111</v>
      </c>
      <c r="BT298">
        <f t="shared" si="20"/>
        <v>1.620000000000001</v>
      </c>
      <c r="BU298" s="39">
        <f t="shared" ca="1" si="19"/>
        <v>0.12492105335251091</v>
      </c>
      <c r="BV298" s="39">
        <f t="shared" ca="1" si="21"/>
        <v>4.7281944942257299E-2</v>
      </c>
    </row>
    <row r="299" spans="71:74" x14ac:dyDescent="0.2">
      <c r="BS299">
        <v>-0.63000000000000111</v>
      </c>
      <c r="BT299">
        <f t="shared" si="20"/>
        <v>1.6300000000000012</v>
      </c>
      <c r="BU299" s="39">
        <f t="shared" ca="1" si="19"/>
        <v>0.12569217096579804</v>
      </c>
      <c r="BV299" s="39">
        <f t="shared" ca="1" si="21"/>
        <v>4.7558376701160129E-2</v>
      </c>
    </row>
    <row r="300" spans="71:74" x14ac:dyDescent="0.2">
      <c r="BS300">
        <v>-0.64000000000000112</v>
      </c>
      <c r="BT300">
        <f t="shared" si="20"/>
        <v>1.640000000000001</v>
      </c>
      <c r="BU300" s="39">
        <f t="shared" ca="1" si="19"/>
        <v>0.12646328857908512</v>
      </c>
      <c r="BV300" s="39">
        <f t="shared" ca="1" si="21"/>
        <v>4.7834808460062946E-2</v>
      </c>
    </row>
    <row r="301" spans="71:74" x14ac:dyDescent="0.2">
      <c r="BS301">
        <v>-0.65000000000000113</v>
      </c>
      <c r="BT301">
        <f t="shared" si="20"/>
        <v>1.6500000000000012</v>
      </c>
      <c r="BU301" s="39">
        <f t="shared" ca="1" si="19"/>
        <v>0.12723440619237225</v>
      </c>
      <c r="BV301" s="39">
        <f t="shared" ca="1" si="21"/>
        <v>4.8111240218965776E-2</v>
      </c>
    </row>
    <row r="302" spans="71:74" x14ac:dyDescent="0.2">
      <c r="BS302">
        <v>-0.66000000000000114</v>
      </c>
      <c r="BT302">
        <f t="shared" si="20"/>
        <v>1.660000000000001</v>
      </c>
      <c r="BU302" s="39">
        <f t="shared" ca="1" si="19"/>
        <v>0.12800552380565933</v>
      </c>
      <c r="BV302" s="39">
        <f t="shared" ca="1" si="21"/>
        <v>4.8387671977868585E-2</v>
      </c>
    </row>
    <row r="303" spans="71:74" x14ac:dyDescent="0.2">
      <c r="BS303">
        <v>-0.67000000000000115</v>
      </c>
      <c r="BT303">
        <f t="shared" si="20"/>
        <v>1.6700000000000013</v>
      </c>
      <c r="BU303" s="39">
        <f t="shared" ca="1" si="19"/>
        <v>0.12877664141894646</v>
      </c>
      <c r="BV303" s="39">
        <f t="shared" ca="1" si="21"/>
        <v>4.8664103736771422E-2</v>
      </c>
    </row>
    <row r="304" spans="71:74" x14ac:dyDescent="0.2">
      <c r="BS304">
        <v>-0.68000000000000116</v>
      </c>
      <c r="BT304">
        <f t="shared" si="20"/>
        <v>1.680000000000001</v>
      </c>
      <c r="BU304" s="39">
        <f t="shared" ca="1" si="19"/>
        <v>0.12954775903223353</v>
      </c>
      <c r="BV304" s="39">
        <f t="shared" ca="1" si="21"/>
        <v>4.8940535495674238E-2</v>
      </c>
    </row>
    <row r="305" spans="71:74" x14ac:dyDescent="0.2">
      <c r="BS305">
        <v>-0.69000000000000117</v>
      </c>
      <c r="BT305">
        <f t="shared" si="20"/>
        <v>1.6900000000000013</v>
      </c>
      <c r="BU305" s="39">
        <f t="shared" ca="1" si="19"/>
        <v>0.13031887664552066</v>
      </c>
      <c r="BV305" s="39">
        <f t="shared" ca="1" si="21"/>
        <v>4.9216967254577061E-2</v>
      </c>
    </row>
    <row r="306" spans="71:74" x14ac:dyDescent="0.2">
      <c r="BS306">
        <v>-0.70000000000000118</v>
      </c>
      <c r="BT306">
        <f t="shared" si="20"/>
        <v>1.7000000000000011</v>
      </c>
      <c r="BU306" s="39">
        <f t="shared" ca="1" si="19"/>
        <v>0.13108999425880774</v>
      </c>
      <c r="BV306" s="39">
        <f t="shared" ca="1" si="21"/>
        <v>4.9493399013479884E-2</v>
      </c>
    </row>
    <row r="307" spans="71:74" x14ac:dyDescent="0.2">
      <c r="BS307">
        <v>-0.71000000000000119</v>
      </c>
      <c r="BT307">
        <f t="shared" si="20"/>
        <v>1.7100000000000013</v>
      </c>
      <c r="BU307" s="39">
        <f t="shared" ca="1" si="19"/>
        <v>0.13186111187209487</v>
      </c>
      <c r="BV307" s="39">
        <f t="shared" ca="1" si="21"/>
        <v>4.9769830772382707E-2</v>
      </c>
    </row>
    <row r="308" spans="71:74" x14ac:dyDescent="0.2">
      <c r="BS308">
        <v>-0.72000000000000119</v>
      </c>
      <c r="BT308">
        <f t="shared" si="20"/>
        <v>1.7200000000000011</v>
      </c>
      <c r="BU308" s="39">
        <f t="shared" ca="1" si="19"/>
        <v>0.13263222948538195</v>
      </c>
      <c r="BV308" s="39">
        <f t="shared" ca="1" si="21"/>
        <v>5.0046262531285524E-2</v>
      </c>
    </row>
    <row r="309" spans="71:74" x14ac:dyDescent="0.2">
      <c r="BS309">
        <v>-0.7300000000000012</v>
      </c>
      <c r="BT309">
        <f t="shared" si="20"/>
        <v>1.7300000000000013</v>
      </c>
      <c r="BU309" s="39">
        <f t="shared" ca="1" si="19"/>
        <v>0.13340334709866908</v>
      </c>
      <c r="BV309" s="39">
        <f t="shared" ca="1" si="21"/>
        <v>5.0322694290188361E-2</v>
      </c>
    </row>
    <row r="310" spans="71:74" x14ac:dyDescent="0.2">
      <c r="BS310">
        <v>-0.74000000000000121</v>
      </c>
      <c r="BT310">
        <f t="shared" si="20"/>
        <v>1.7400000000000011</v>
      </c>
      <c r="BU310" s="39">
        <f t="shared" ca="1" si="19"/>
        <v>0.13417446471195618</v>
      </c>
      <c r="BV310" s="39">
        <f t="shared" ca="1" si="21"/>
        <v>5.059912604909117E-2</v>
      </c>
    </row>
    <row r="311" spans="71:74" x14ac:dyDescent="0.2">
      <c r="BS311">
        <v>-0.75000000000000122</v>
      </c>
      <c r="BT311">
        <f t="shared" si="20"/>
        <v>1.7500000000000013</v>
      </c>
      <c r="BU311" s="39">
        <f t="shared" ca="1" si="19"/>
        <v>0.13494558232524329</v>
      </c>
      <c r="BV311" s="39">
        <f t="shared" ca="1" si="21"/>
        <v>5.0875557807994007E-2</v>
      </c>
    </row>
    <row r="312" spans="71:74" x14ac:dyDescent="0.2">
      <c r="BS312">
        <v>-0.76000000000000123</v>
      </c>
      <c r="BT312">
        <f t="shared" si="20"/>
        <v>1.7600000000000011</v>
      </c>
      <c r="BU312" s="39">
        <f t="shared" ca="1" si="19"/>
        <v>0.13571669993853039</v>
      </c>
      <c r="BV312" s="39">
        <f t="shared" ca="1" si="21"/>
        <v>5.1151989566896816E-2</v>
      </c>
    </row>
    <row r="313" spans="71:74" x14ac:dyDescent="0.2">
      <c r="BS313">
        <v>-0.77000000000000124</v>
      </c>
      <c r="BT313">
        <f t="shared" si="20"/>
        <v>1.7700000000000014</v>
      </c>
      <c r="BU313" s="39">
        <f t="shared" ca="1" si="19"/>
        <v>0.13648781755181749</v>
      </c>
      <c r="BV313" s="39">
        <f t="shared" ca="1" si="21"/>
        <v>5.1428421325799646E-2</v>
      </c>
    </row>
    <row r="314" spans="71:74" x14ac:dyDescent="0.2">
      <c r="BS314">
        <v>-0.78000000000000125</v>
      </c>
      <c r="BT314">
        <f t="shared" si="20"/>
        <v>1.7800000000000011</v>
      </c>
      <c r="BU314" s="39">
        <f t="shared" ca="1" si="19"/>
        <v>0.1372589351651046</v>
      </c>
      <c r="BV314" s="39">
        <f t="shared" ca="1" si="21"/>
        <v>5.1704853084702469E-2</v>
      </c>
    </row>
    <row r="315" spans="71:74" x14ac:dyDescent="0.2">
      <c r="BS315">
        <v>-0.79000000000000126</v>
      </c>
      <c r="BT315">
        <f t="shared" si="20"/>
        <v>1.7900000000000014</v>
      </c>
      <c r="BU315" s="39">
        <f t="shared" ca="1" si="19"/>
        <v>0.1380300527783917</v>
      </c>
      <c r="BV315" s="39">
        <f t="shared" ca="1" si="21"/>
        <v>5.1981284843605292E-2</v>
      </c>
    </row>
    <row r="316" spans="71:74" x14ac:dyDescent="0.2">
      <c r="BS316">
        <v>-0.80000000000000127</v>
      </c>
      <c r="BT316">
        <f t="shared" si="20"/>
        <v>1.8000000000000012</v>
      </c>
      <c r="BU316" s="39">
        <f t="shared" ca="1" si="19"/>
        <v>0.1388011703916788</v>
      </c>
      <c r="BV316" s="39">
        <f t="shared" ca="1" si="21"/>
        <v>5.2257716602508109E-2</v>
      </c>
    </row>
    <row r="317" spans="71:74" x14ac:dyDescent="0.2">
      <c r="BS317">
        <v>-0.81000000000000127</v>
      </c>
      <c r="BT317">
        <f t="shared" si="20"/>
        <v>1.8100000000000014</v>
      </c>
      <c r="BU317" s="39">
        <f t="shared" ca="1" si="19"/>
        <v>0.13957228800496591</v>
      </c>
      <c r="BV317" s="39">
        <f t="shared" ca="1" si="21"/>
        <v>5.2534148361410939E-2</v>
      </c>
    </row>
    <row r="318" spans="71:74" x14ac:dyDescent="0.2">
      <c r="BS318">
        <v>-0.82000000000000128</v>
      </c>
      <c r="BT318">
        <f t="shared" si="20"/>
        <v>1.8200000000000012</v>
      </c>
      <c r="BU318" s="39">
        <f t="shared" ca="1" si="19"/>
        <v>0.14034340561825301</v>
      </c>
      <c r="BV318" s="39">
        <f t="shared" ca="1" si="21"/>
        <v>5.2810580120313755E-2</v>
      </c>
    </row>
    <row r="319" spans="71:74" x14ac:dyDescent="0.2">
      <c r="BS319">
        <v>-0.83000000000000129</v>
      </c>
      <c r="BT319">
        <f t="shared" si="20"/>
        <v>1.8300000000000014</v>
      </c>
      <c r="BU319" s="39">
        <f t="shared" ca="1" si="19"/>
        <v>0.14111452323154014</v>
      </c>
      <c r="BV319" s="39">
        <f t="shared" ca="1" si="21"/>
        <v>5.3087011879216585E-2</v>
      </c>
    </row>
    <row r="320" spans="71:74" x14ac:dyDescent="0.2">
      <c r="BS320">
        <v>-0.8400000000000013</v>
      </c>
      <c r="BT320">
        <f t="shared" si="20"/>
        <v>1.8400000000000012</v>
      </c>
      <c r="BU320" s="39">
        <f t="shared" ca="1" si="19"/>
        <v>0.14188564084482722</v>
      </c>
      <c r="BV320" s="39">
        <f t="shared" ca="1" si="21"/>
        <v>5.3363443638119401E-2</v>
      </c>
    </row>
    <row r="321" spans="71:74" x14ac:dyDescent="0.2">
      <c r="BS321">
        <v>-0.85000000000000131</v>
      </c>
      <c r="BT321">
        <f t="shared" si="20"/>
        <v>1.8500000000000014</v>
      </c>
      <c r="BU321" s="39">
        <f t="shared" ca="1" si="19"/>
        <v>0.14265675845811435</v>
      </c>
      <c r="BV321" s="39">
        <f t="shared" ca="1" si="21"/>
        <v>5.3639875397022231E-2</v>
      </c>
    </row>
    <row r="322" spans="71:74" x14ac:dyDescent="0.2">
      <c r="BS322">
        <v>-0.86000000000000132</v>
      </c>
      <c r="BT322">
        <f t="shared" si="20"/>
        <v>1.8600000000000012</v>
      </c>
      <c r="BU322" s="39">
        <f t="shared" ca="1" si="19"/>
        <v>0.14342787607140142</v>
      </c>
      <c r="BV322" s="39">
        <f t="shared" ca="1" si="21"/>
        <v>5.3916307155925047E-2</v>
      </c>
    </row>
    <row r="323" spans="71:74" x14ac:dyDescent="0.2">
      <c r="BS323">
        <v>-0.87000000000000133</v>
      </c>
      <c r="BT323">
        <f t="shared" si="20"/>
        <v>1.8700000000000014</v>
      </c>
      <c r="BU323" s="39">
        <f t="shared" ca="1" si="19"/>
        <v>0.14419899368468855</v>
      </c>
      <c r="BV323" s="39">
        <f t="shared" ca="1" si="21"/>
        <v>5.4192738914827877E-2</v>
      </c>
    </row>
    <row r="324" spans="71:74" x14ac:dyDescent="0.2">
      <c r="BS324">
        <v>-0.88000000000000134</v>
      </c>
      <c r="BT324">
        <f t="shared" si="20"/>
        <v>1.8800000000000012</v>
      </c>
      <c r="BU324" s="39">
        <f t="shared" ca="1" si="19"/>
        <v>0.14497011129797563</v>
      </c>
      <c r="BV324" s="39">
        <f t="shared" ca="1" si="21"/>
        <v>5.4469170673730694E-2</v>
      </c>
    </row>
    <row r="325" spans="71:74" x14ac:dyDescent="0.2">
      <c r="BS325">
        <v>-0.89000000000000135</v>
      </c>
      <c r="BT325">
        <f t="shared" si="20"/>
        <v>1.8900000000000015</v>
      </c>
      <c r="BU325" s="39">
        <f t="shared" ca="1" si="19"/>
        <v>0.14574122891126276</v>
      </c>
      <c r="BV325" s="39">
        <f t="shared" ca="1" si="21"/>
        <v>5.4745602432633524E-2</v>
      </c>
    </row>
    <row r="326" spans="71:74" x14ac:dyDescent="0.2">
      <c r="BS326">
        <v>-0.90000000000000135</v>
      </c>
      <c r="BT326">
        <f t="shared" si="20"/>
        <v>1.9000000000000012</v>
      </c>
      <c r="BU326" s="39">
        <f t="shared" ca="1" si="19"/>
        <v>0.14651234652454984</v>
      </c>
      <c r="BV326" s="39">
        <f t="shared" ca="1" si="21"/>
        <v>5.502203419153634E-2</v>
      </c>
    </row>
    <row r="327" spans="71:74" x14ac:dyDescent="0.2">
      <c r="BS327">
        <v>-0.91000000000000136</v>
      </c>
      <c r="BT327">
        <f t="shared" si="20"/>
        <v>1.9100000000000015</v>
      </c>
      <c r="BU327" s="39">
        <f t="shared" ca="1" si="19"/>
        <v>0.14728346413783697</v>
      </c>
      <c r="BV327" s="39">
        <f t="shared" ca="1" si="21"/>
        <v>5.5298465950439163E-2</v>
      </c>
    </row>
    <row r="328" spans="71:74" x14ac:dyDescent="0.2">
      <c r="BS328">
        <v>-0.92000000000000137</v>
      </c>
      <c r="BT328">
        <f t="shared" si="20"/>
        <v>1.9200000000000013</v>
      </c>
      <c r="BU328" s="39">
        <f t="shared" ca="1" si="19"/>
        <v>0.14805458175112404</v>
      </c>
      <c r="BV328" s="39">
        <f t="shared" ref="BV328:BV335" ca="1" si="22">BS328*RF+BT328*$BE$18</f>
        <v>5.5574897709341986E-2</v>
      </c>
    </row>
    <row r="329" spans="71:74" x14ac:dyDescent="0.2">
      <c r="BS329">
        <v>-0.93000000000000138</v>
      </c>
      <c r="BT329">
        <f t="shared" si="20"/>
        <v>1.9300000000000015</v>
      </c>
      <c r="BU329" s="39">
        <f t="shared" ref="BU329:BU335" ca="1" si="23">BT329*$BE$17</f>
        <v>0.14882569936441117</v>
      </c>
      <c r="BV329" s="39">
        <f t="shared" ca="1" si="22"/>
        <v>5.5851329468244816E-2</v>
      </c>
    </row>
    <row r="330" spans="71:74" x14ac:dyDescent="0.2">
      <c r="BS330">
        <v>-0.94000000000000139</v>
      </c>
      <c r="BT330">
        <f t="shared" si="20"/>
        <v>1.9400000000000013</v>
      </c>
      <c r="BU330" s="39">
        <f t="shared" ca="1" si="23"/>
        <v>0.14959681697769825</v>
      </c>
      <c r="BV330" s="39">
        <f t="shared" ca="1" si="22"/>
        <v>5.6127761227147632E-2</v>
      </c>
    </row>
    <row r="331" spans="71:74" x14ac:dyDescent="0.2">
      <c r="BS331">
        <v>-0.9500000000000014</v>
      </c>
      <c r="BT331">
        <f t="shared" si="20"/>
        <v>1.9500000000000015</v>
      </c>
      <c r="BU331" s="39">
        <f t="shared" ca="1" si="23"/>
        <v>0.15036793459098538</v>
      </c>
      <c r="BV331" s="39">
        <f t="shared" ca="1" si="22"/>
        <v>5.6404192986050462E-2</v>
      </c>
    </row>
    <row r="332" spans="71:74" x14ac:dyDescent="0.2">
      <c r="BS332">
        <v>-0.96000000000000141</v>
      </c>
      <c r="BT332">
        <f t="shared" si="20"/>
        <v>1.9600000000000013</v>
      </c>
      <c r="BU332" s="39">
        <f t="shared" ca="1" si="23"/>
        <v>0.15113905220427248</v>
      </c>
      <c r="BV332" s="39">
        <f t="shared" ca="1" si="22"/>
        <v>5.6680624744953272E-2</v>
      </c>
    </row>
    <row r="333" spans="71:74" x14ac:dyDescent="0.2">
      <c r="BS333">
        <v>-0.97000000000000142</v>
      </c>
      <c r="BT333">
        <f t="shared" si="20"/>
        <v>1.9700000000000015</v>
      </c>
      <c r="BU333" s="39">
        <f t="shared" ca="1" si="23"/>
        <v>0.15191016981755959</v>
      </c>
      <c r="BV333" s="39">
        <f t="shared" ca="1" si="22"/>
        <v>5.6957056503856109E-2</v>
      </c>
    </row>
    <row r="334" spans="71:74" x14ac:dyDescent="0.2">
      <c r="BS334">
        <v>-0.98000000000000143</v>
      </c>
      <c r="BT334">
        <f t="shared" si="20"/>
        <v>1.9800000000000013</v>
      </c>
      <c r="BU334" s="39">
        <f t="shared" ca="1" si="23"/>
        <v>0.15268128743084669</v>
      </c>
      <c r="BV334" s="39">
        <f t="shared" ca="1" si="22"/>
        <v>5.7233488262758925E-2</v>
      </c>
    </row>
    <row r="335" spans="71:74" x14ac:dyDescent="0.2">
      <c r="BS335">
        <v>-0.99000000000000143</v>
      </c>
      <c r="BT335">
        <f t="shared" si="20"/>
        <v>1.9900000000000015</v>
      </c>
      <c r="BU335" s="39">
        <f t="shared" ca="1" si="23"/>
        <v>0.15345240504413379</v>
      </c>
      <c r="BV335" s="39">
        <f t="shared" ca="1" si="22"/>
        <v>5.7509920021661748E-2</v>
      </c>
    </row>
  </sheetData>
  <mergeCells count="11">
    <mergeCell ref="BC1:BD1"/>
    <mergeCell ref="BE1:BF1"/>
    <mergeCell ref="AM2:AN2"/>
    <mergeCell ref="BB21:BN21"/>
    <mergeCell ref="BH4:BL4"/>
    <mergeCell ref="A1:L1"/>
    <mergeCell ref="M1:W1"/>
    <mergeCell ref="Z3:AK3"/>
    <mergeCell ref="Z19:AK19"/>
    <mergeCell ref="Z50:AL50"/>
    <mergeCell ref="Z35:AK3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83D-050E-7E4B-AE51-B6400135F6EE}">
  <dimension ref="A1:G64"/>
  <sheetViews>
    <sheetView showGridLines="0" workbookViewId="0">
      <selection activeCell="J24" sqref="J24"/>
    </sheetView>
  </sheetViews>
  <sheetFormatPr baseColWidth="10" defaultRowHeight="15" outlineLevelRow="1" x14ac:dyDescent="0.2"/>
  <cols>
    <col min="1" max="1" width="2.33203125" customWidth="1"/>
    <col min="2" max="2" width="7" bestFit="1" customWidth="1"/>
    <col min="3" max="3" width="8.5" bestFit="1" customWidth="1"/>
    <col min="4" max="5" width="12.1640625" bestFit="1" customWidth="1"/>
    <col min="6" max="6" width="10.1640625" bestFit="1" customWidth="1"/>
    <col min="7" max="7" width="12.1640625" bestFit="1" customWidth="1"/>
  </cols>
  <sheetData>
    <row r="1" spans="1:5" x14ac:dyDescent="0.2">
      <c r="A1" s="6" t="s">
        <v>49</v>
      </c>
    </row>
    <row r="2" spans="1:5" x14ac:dyDescent="0.2">
      <c r="A2" s="6" t="s">
        <v>174</v>
      </c>
    </row>
    <row r="3" spans="1:5" x14ac:dyDescent="0.2">
      <c r="A3" s="6" t="s">
        <v>175</v>
      </c>
    </row>
    <row r="4" spans="1:5" x14ac:dyDescent="0.2">
      <c r="A4" s="6" t="s">
        <v>50</v>
      </c>
    </row>
    <row r="5" spans="1:5" x14ac:dyDescent="0.2">
      <c r="A5" s="6" t="s">
        <v>51</v>
      </c>
    </row>
    <row r="6" spans="1:5" outlineLevel="1" x14ac:dyDescent="0.2">
      <c r="A6" s="6"/>
      <c r="B6" t="s">
        <v>52</v>
      </c>
    </row>
    <row r="7" spans="1:5" outlineLevel="1" x14ac:dyDescent="0.2">
      <c r="A7" s="6"/>
      <c r="B7" t="s">
        <v>176</v>
      </c>
    </row>
    <row r="8" spans="1:5" outlineLevel="1" x14ac:dyDescent="0.2">
      <c r="A8" s="6"/>
      <c r="B8" t="s">
        <v>177</v>
      </c>
    </row>
    <row r="9" spans="1:5" x14ac:dyDescent="0.2">
      <c r="A9" s="6" t="s">
        <v>53</v>
      </c>
    </row>
    <row r="10" spans="1:5" outlineLevel="1" x14ac:dyDescent="0.2">
      <c r="B10" t="s">
        <v>54</v>
      </c>
    </row>
    <row r="11" spans="1:5" outlineLevel="1" x14ac:dyDescent="0.2">
      <c r="B11" t="s">
        <v>55</v>
      </c>
    </row>
    <row r="12" spans="1:5" outlineLevel="1" x14ac:dyDescent="0.2">
      <c r="B12" t="s">
        <v>56</v>
      </c>
    </row>
    <row r="14" spans="1:5" ht="16" thickBot="1" x14ac:dyDescent="0.25">
      <c r="A14" t="s">
        <v>57</v>
      </c>
    </row>
    <row r="15" spans="1:5" ht="16" thickBot="1" x14ac:dyDescent="0.25">
      <c r="B15" s="41" t="s">
        <v>58</v>
      </c>
      <c r="C15" s="41" t="s">
        <v>59</v>
      </c>
      <c r="D15" s="41" t="s">
        <v>60</v>
      </c>
      <c r="E15" s="41" t="s">
        <v>61</v>
      </c>
    </row>
    <row r="16" spans="1:5" ht="16" thickBot="1" x14ac:dyDescent="0.25">
      <c r="B16" s="40" t="s">
        <v>98</v>
      </c>
      <c r="C16" s="40" t="s">
        <v>69</v>
      </c>
      <c r="D16" s="43">
        <v>0.35848196713398256</v>
      </c>
      <c r="E16" s="51">
        <v>0.19195307101150338</v>
      </c>
    </row>
    <row r="19" spans="1:6" ht="16" thickBot="1" x14ac:dyDescent="0.25">
      <c r="A19" t="s">
        <v>62</v>
      </c>
    </row>
    <row r="20" spans="1:6" ht="16" thickBot="1" x14ac:dyDescent="0.25">
      <c r="B20" s="41" t="s">
        <v>58</v>
      </c>
      <c r="C20" s="41" t="s">
        <v>59</v>
      </c>
      <c r="D20" s="41" t="s">
        <v>60</v>
      </c>
      <c r="E20" s="41" t="s">
        <v>61</v>
      </c>
      <c r="F20" s="41" t="s">
        <v>63</v>
      </c>
    </row>
    <row r="21" spans="1:6" x14ac:dyDescent="0.2">
      <c r="B21" s="47" t="s">
        <v>45</v>
      </c>
      <c r="C21" s="46"/>
      <c r="D21" s="46"/>
      <c r="E21" s="46"/>
      <c r="F21" s="46"/>
    </row>
    <row r="22" spans="1:6" outlineLevel="1" x14ac:dyDescent="0.2">
      <c r="B22" s="42" t="s">
        <v>99</v>
      </c>
      <c r="C22" s="42" t="s">
        <v>70</v>
      </c>
      <c r="D22" s="44">
        <v>-3.9347509259957447E-2</v>
      </c>
      <c r="E22" s="49">
        <v>0</v>
      </c>
      <c r="F22" s="42" t="s">
        <v>71</v>
      </c>
    </row>
    <row r="23" spans="1:6" outlineLevel="1" x14ac:dyDescent="0.2">
      <c r="B23" s="42" t="s">
        <v>100</v>
      </c>
      <c r="C23" s="42" t="s">
        <v>83</v>
      </c>
      <c r="D23" s="44">
        <v>-1.0210809676626202</v>
      </c>
      <c r="E23" s="49">
        <v>0.15</v>
      </c>
      <c r="F23" s="42" t="s">
        <v>71</v>
      </c>
    </row>
    <row r="24" spans="1:6" outlineLevel="1" x14ac:dyDescent="0.2">
      <c r="B24" s="42" t="s">
        <v>101</v>
      </c>
      <c r="C24" s="42" t="s">
        <v>72</v>
      </c>
      <c r="D24" s="44">
        <v>3.661030062863161E-2</v>
      </c>
      <c r="E24" s="49">
        <v>0</v>
      </c>
      <c r="F24" s="42" t="s">
        <v>71</v>
      </c>
    </row>
    <row r="25" spans="1:6" outlineLevel="1" x14ac:dyDescent="0.2">
      <c r="B25" s="42" t="s">
        <v>102</v>
      </c>
      <c r="C25" s="42" t="s">
        <v>73</v>
      </c>
      <c r="D25" s="44">
        <v>0.57525098400701935</v>
      </c>
      <c r="E25" s="49">
        <v>3.6503608798302743E-2</v>
      </c>
      <c r="F25" s="42" t="s">
        <v>71</v>
      </c>
    </row>
    <row r="26" spans="1:6" outlineLevel="1" x14ac:dyDescent="0.2">
      <c r="B26" s="42" t="s">
        <v>103</v>
      </c>
      <c r="C26" s="42" t="s">
        <v>74</v>
      </c>
      <c r="D26" s="44">
        <v>-0.57793103132729928</v>
      </c>
      <c r="E26" s="49">
        <v>0.15</v>
      </c>
      <c r="F26" s="42" t="s">
        <v>71</v>
      </c>
    </row>
    <row r="27" spans="1:6" outlineLevel="1" x14ac:dyDescent="0.2">
      <c r="B27" s="42" t="s">
        <v>104</v>
      </c>
      <c r="C27" s="42" t="s">
        <v>75</v>
      </c>
      <c r="D27" s="44">
        <v>2.5455436545708419</v>
      </c>
      <c r="E27" s="49">
        <v>0.15</v>
      </c>
      <c r="F27" s="42" t="s">
        <v>71</v>
      </c>
    </row>
    <row r="28" spans="1:6" outlineLevel="1" x14ac:dyDescent="0.2">
      <c r="B28" s="42" t="s">
        <v>105</v>
      </c>
      <c r="C28" s="42" t="s">
        <v>84</v>
      </c>
      <c r="D28" s="44">
        <v>-0.20681624749371896</v>
      </c>
      <c r="E28" s="49">
        <v>0.15</v>
      </c>
      <c r="F28" s="42" t="s">
        <v>71</v>
      </c>
    </row>
    <row r="29" spans="1:6" outlineLevel="1" x14ac:dyDescent="0.2">
      <c r="B29" s="42" t="s">
        <v>106</v>
      </c>
      <c r="C29" s="42" t="s">
        <v>76</v>
      </c>
      <c r="D29" s="44">
        <v>-0.43289763201672321</v>
      </c>
      <c r="E29" s="49">
        <v>0</v>
      </c>
      <c r="F29" s="42" t="s">
        <v>71</v>
      </c>
    </row>
    <row r="30" spans="1:6" outlineLevel="1" x14ac:dyDescent="0.2">
      <c r="B30" s="42" t="s">
        <v>107</v>
      </c>
      <c r="C30" s="42" t="s">
        <v>77</v>
      </c>
      <c r="D30" s="44">
        <v>0.81911785429645345</v>
      </c>
      <c r="E30" s="49">
        <v>0.15</v>
      </c>
      <c r="F30" s="42" t="s">
        <v>71</v>
      </c>
    </row>
    <row r="31" spans="1:6" outlineLevel="1" x14ac:dyDescent="0.2">
      <c r="B31" s="42" t="s">
        <v>108</v>
      </c>
      <c r="C31" s="42" t="s">
        <v>78</v>
      </c>
      <c r="D31" s="44">
        <v>0.24852410936338096</v>
      </c>
      <c r="E31" s="49">
        <v>0.15</v>
      </c>
      <c r="F31" s="42" t="s">
        <v>71</v>
      </c>
    </row>
    <row r="32" spans="1:6" ht="16" outlineLevel="1" thickBot="1" x14ac:dyDescent="0.25">
      <c r="B32" s="40" t="s">
        <v>109</v>
      </c>
      <c r="C32" s="40" t="s">
        <v>79</v>
      </c>
      <c r="D32" s="45">
        <v>-0.94697351510600714</v>
      </c>
      <c r="E32" s="50">
        <v>6.3496392385900408E-2</v>
      </c>
      <c r="F32" s="40" t="s">
        <v>71</v>
      </c>
    </row>
    <row r="33" spans="1:7" x14ac:dyDescent="0.2">
      <c r="D33" s="37"/>
      <c r="E33" s="37"/>
    </row>
    <row r="36" spans="1:7" ht="16" thickBot="1" x14ac:dyDescent="0.25">
      <c r="A36" t="s">
        <v>64</v>
      </c>
    </row>
    <row r="37" spans="1:7" ht="16" thickBot="1" x14ac:dyDescent="0.25">
      <c r="B37" s="41" t="s">
        <v>58</v>
      </c>
      <c r="C37" s="41" t="s">
        <v>59</v>
      </c>
      <c r="D37" s="41" t="s">
        <v>65</v>
      </c>
      <c r="E37" s="41" t="s">
        <v>66</v>
      </c>
      <c r="F37" s="41" t="s">
        <v>67</v>
      </c>
      <c r="G37" s="41" t="s">
        <v>68</v>
      </c>
    </row>
    <row r="38" spans="1:7" x14ac:dyDescent="0.2">
      <c r="B38" s="42" t="s">
        <v>110</v>
      </c>
      <c r="C38" s="42" t="s">
        <v>80</v>
      </c>
      <c r="D38" s="42">
        <v>1.0000000011842032</v>
      </c>
      <c r="E38" s="42" t="s">
        <v>111</v>
      </c>
      <c r="F38" s="42" t="s">
        <v>81</v>
      </c>
      <c r="G38" s="42">
        <v>0</v>
      </c>
    </row>
    <row r="39" spans="1:7" x14ac:dyDescent="0.2">
      <c r="B39" s="48" t="s">
        <v>85</v>
      </c>
      <c r="C39" s="42"/>
      <c r="D39" s="42"/>
      <c r="E39" s="42"/>
      <c r="F39" s="42"/>
      <c r="G39" s="42"/>
    </row>
    <row r="40" spans="1:7" outlineLevel="1" x14ac:dyDescent="0.2">
      <c r="B40" s="42" t="s">
        <v>99</v>
      </c>
      <c r="C40" s="42" t="s">
        <v>70</v>
      </c>
      <c r="D40" s="44">
        <v>0</v>
      </c>
      <c r="E40" s="42" t="s">
        <v>134</v>
      </c>
      <c r="F40" s="42" t="s">
        <v>82</v>
      </c>
      <c r="G40" s="42">
        <v>0.15</v>
      </c>
    </row>
    <row r="41" spans="1:7" outlineLevel="1" x14ac:dyDescent="0.2">
      <c r="B41" s="42" t="s">
        <v>100</v>
      </c>
      <c r="C41" s="42" t="s">
        <v>83</v>
      </c>
      <c r="D41" s="44">
        <v>0.15</v>
      </c>
      <c r="E41" s="42" t="s">
        <v>135</v>
      </c>
      <c r="F41" s="42" t="s">
        <v>81</v>
      </c>
      <c r="G41" s="42">
        <v>0</v>
      </c>
    </row>
    <row r="42" spans="1:7" outlineLevel="1" x14ac:dyDescent="0.2">
      <c r="B42" s="42" t="s">
        <v>101</v>
      </c>
      <c r="C42" s="42" t="s">
        <v>72</v>
      </c>
      <c r="D42" s="44">
        <v>0</v>
      </c>
      <c r="E42" s="42" t="s">
        <v>136</v>
      </c>
      <c r="F42" s="42" t="s">
        <v>82</v>
      </c>
      <c r="G42" s="42">
        <v>0.15</v>
      </c>
    </row>
    <row r="43" spans="1:7" outlineLevel="1" x14ac:dyDescent="0.2">
      <c r="B43" s="42" t="s">
        <v>102</v>
      </c>
      <c r="C43" s="42" t="s">
        <v>73</v>
      </c>
      <c r="D43" s="44">
        <v>3.6503608798302743E-2</v>
      </c>
      <c r="E43" s="42" t="s">
        <v>137</v>
      </c>
      <c r="F43" s="42" t="s">
        <v>82</v>
      </c>
      <c r="G43" s="42">
        <v>0.11349639120169724</v>
      </c>
    </row>
    <row r="44" spans="1:7" outlineLevel="1" x14ac:dyDescent="0.2">
      <c r="B44" s="42" t="s">
        <v>103</v>
      </c>
      <c r="C44" s="42" t="s">
        <v>74</v>
      </c>
      <c r="D44" s="44">
        <v>0.15</v>
      </c>
      <c r="E44" s="42" t="s">
        <v>138</v>
      </c>
      <c r="F44" s="42" t="s">
        <v>81</v>
      </c>
      <c r="G44" s="42">
        <v>0</v>
      </c>
    </row>
    <row r="45" spans="1:7" outlineLevel="1" x14ac:dyDescent="0.2">
      <c r="B45" s="42" t="s">
        <v>104</v>
      </c>
      <c r="C45" s="42" t="s">
        <v>75</v>
      </c>
      <c r="D45" s="44">
        <v>0.15</v>
      </c>
      <c r="E45" s="42" t="s">
        <v>139</v>
      </c>
      <c r="F45" s="42" t="s">
        <v>81</v>
      </c>
      <c r="G45" s="42">
        <v>0</v>
      </c>
    </row>
    <row r="46" spans="1:7" outlineLevel="1" x14ac:dyDescent="0.2">
      <c r="B46" s="42" t="s">
        <v>105</v>
      </c>
      <c r="C46" s="42" t="s">
        <v>84</v>
      </c>
      <c r="D46" s="44">
        <v>0.15</v>
      </c>
      <c r="E46" s="42" t="s">
        <v>140</v>
      </c>
      <c r="F46" s="42" t="s">
        <v>81</v>
      </c>
      <c r="G46" s="42">
        <v>0</v>
      </c>
    </row>
    <row r="47" spans="1:7" outlineLevel="1" x14ac:dyDescent="0.2">
      <c r="B47" s="42" t="s">
        <v>106</v>
      </c>
      <c r="C47" s="42" t="s">
        <v>76</v>
      </c>
      <c r="D47" s="44">
        <v>0</v>
      </c>
      <c r="E47" s="42" t="s">
        <v>141</v>
      </c>
      <c r="F47" s="42" t="s">
        <v>82</v>
      </c>
      <c r="G47" s="42">
        <v>0.15</v>
      </c>
    </row>
    <row r="48" spans="1:7" outlineLevel="1" x14ac:dyDescent="0.2">
      <c r="B48" s="42" t="s">
        <v>107</v>
      </c>
      <c r="C48" s="42" t="s">
        <v>77</v>
      </c>
      <c r="D48" s="44">
        <v>0.15</v>
      </c>
      <c r="E48" s="42" t="s">
        <v>142</v>
      </c>
      <c r="F48" s="42" t="s">
        <v>81</v>
      </c>
      <c r="G48" s="42">
        <v>0</v>
      </c>
    </row>
    <row r="49" spans="2:7" outlineLevel="1" x14ac:dyDescent="0.2">
      <c r="B49" s="42" t="s">
        <v>108</v>
      </c>
      <c r="C49" s="42" t="s">
        <v>78</v>
      </c>
      <c r="D49" s="44">
        <v>0.15</v>
      </c>
      <c r="E49" s="42" t="s">
        <v>143</v>
      </c>
      <c r="F49" s="42" t="s">
        <v>81</v>
      </c>
      <c r="G49" s="42">
        <v>0</v>
      </c>
    </row>
    <row r="50" spans="2:7" outlineLevel="1" x14ac:dyDescent="0.2">
      <c r="B50" s="42" t="s">
        <v>109</v>
      </c>
      <c r="C50" s="42" t="s">
        <v>79</v>
      </c>
      <c r="D50" s="44">
        <v>6.3496392385900408E-2</v>
      </c>
      <c r="E50" s="42" t="s">
        <v>144</v>
      </c>
      <c r="F50" s="42" t="s">
        <v>82</v>
      </c>
      <c r="G50" s="42">
        <v>8.6503607614099587E-2</v>
      </c>
    </row>
    <row r="51" spans="2:7" x14ac:dyDescent="0.2">
      <c r="B51" s="42"/>
      <c r="C51" s="42"/>
      <c r="D51" s="44"/>
      <c r="E51" s="42"/>
      <c r="F51" s="42"/>
      <c r="G51" s="42"/>
    </row>
    <row r="52" spans="2:7" x14ac:dyDescent="0.2">
      <c r="B52" s="48" t="s">
        <v>86</v>
      </c>
      <c r="C52" s="42"/>
      <c r="D52" s="44"/>
      <c r="E52" s="42"/>
      <c r="F52" s="42"/>
      <c r="G52" s="42"/>
    </row>
    <row r="53" spans="2:7" outlineLevel="1" x14ac:dyDescent="0.2">
      <c r="B53" s="42" t="s">
        <v>99</v>
      </c>
      <c r="C53" s="42" t="s">
        <v>70</v>
      </c>
      <c r="D53" s="44">
        <v>0</v>
      </c>
      <c r="E53" s="42" t="s">
        <v>145</v>
      </c>
      <c r="F53" s="42" t="s">
        <v>81</v>
      </c>
      <c r="G53" s="44">
        <v>0</v>
      </c>
    </row>
    <row r="54" spans="2:7" outlineLevel="1" x14ac:dyDescent="0.2">
      <c r="B54" s="42" t="s">
        <v>100</v>
      </c>
      <c r="C54" s="42" t="s">
        <v>83</v>
      </c>
      <c r="D54" s="44">
        <v>0.15</v>
      </c>
      <c r="E54" s="42" t="s">
        <v>146</v>
      </c>
      <c r="F54" s="42" t="s">
        <v>82</v>
      </c>
      <c r="G54" s="44">
        <v>0.15</v>
      </c>
    </row>
    <row r="55" spans="2:7" outlineLevel="1" x14ac:dyDescent="0.2">
      <c r="B55" s="42" t="s">
        <v>101</v>
      </c>
      <c r="C55" s="42" t="s">
        <v>72</v>
      </c>
      <c r="D55" s="44">
        <v>0</v>
      </c>
      <c r="E55" s="42" t="s">
        <v>147</v>
      </c>
      <c r="F55" s="42" t="s">
        <v>81</v>
      </c>
      <c r="G55" s="44">
        <v>0</v>
      </c>
    </row>
    <row r="56" spans="2:7" outlineLevel="1" x14ac:dyDescent="0.2">
      <c r="B56" s="42" t="s">
        <v>102</v>
      </c>
      <c r="C56" s="42" t="s">
        <v>73</v>
      </c>
      <c r="D56" s="44">
        <v>3.6503608798302743E-2</v>
      </c>
      <c r="E56" s="42" t="s">
        <v>148</v>
      </c>
      <c r="F56" s="42" t="s">
        <v>82</v>
      </c>
      <c r="G56" s="44">
        <v>3.6503608798302743E-2</v>
      </c>
    </row>
    <row r="57" spans="2:7" outlineLevel="1" x14ac:dyDescent="0.2">
      <c r="B57" s="42" t="s">
        <v>103</v>
      </c>
      <c r="C57" s="42" t="s">
        <v>74</v>
      </c>
      <c r="D57" s="44">
        <v>0.15</v>
      </c>
      <c r="E57" s="42" t="s">
        <v>149</v>
      </c>
      <c r="F57" s="42" t="s">
        <v>82</v>
      </c>
      <c r="G57" s="44">
        <v>0.15</v>
      </c>
    </row>
    <row r="58" spans="2:7" outlineLevel="1" x14ac:dyDescent="0.2">
      <c r="B58" s="42" t="s">
        <v>104</v>
      </c>
      <c r="C58" s="42" t="s">
        <v>75</v>
      </c>
      <c r="D58" s="44">
        <v>0.15</v>
      </c>
      <c r="E58" s="42" t="s">
        <v>150</v>
      </c>
      <c r="F58" s="42" t="s">
        <v>82</v>
      </c>
      <c r="G58" s="44">
        <v>0.15</v>
      </c>
    </row>
    <row r="59" spans="2:7" outlineLevel="1" x14ac:dyDescent="0.2">
      <c r="B59" s="42" t="s">
        <v>105</v>
      </c>
      <c r="C59" s="42" t="s">
        <v>84</v>
      </c>
      <c r="D59" s="44">
        <v>0.15</v>
      </c>
      <c r="E59" s="42" t="s">
        <v>151</v>
      </c>
      <c r="F59" s="42" t="s">
        <v>82</v>
      </c>
      <c r="G59" s="44">
        <v>0.15</v>
      </c>
    </row>
    <row r="60" spans="2:7" outlineLevel="1" x14ac:dyDescent="0.2">
      <c r="B60" s="42" t="s">
        <v>106</v>
      </c>
      <c r="C60" s="42" t="s">
        <v>76</v>
      </c>
      <c r="D60" s="44">
        <v>0</v>
      </c>
      <c r="E60" s="42" t="s">
        <v>152</v>
      </c>
      <c r="F60" s="42" t="s">
        <v>81</v>
      </c>
      <c r="G60" s="44">
        <v>0</v>
      </c>
    </row>
    <row r="61" spans="2:7" outlineLevel="1" x14ac:dyDescent="0.2">
      <c r="B61" s="42" t="s">
        <v>107</v>
      </c>
      <c r="C61" s="42" t="s">
        <v>77</v>
      </c>
      <c r="D61" s="44">
        <v>0.15</v>
      </c>
      <c r="E61" s="42" t="s">
        <v>153</v>
      </c>
      <c r="F61" s="42" t="s">
        <v>82</v>
      </c>
      <c r="G61" s="44">
        <v>0.15</v>
      </c>
    </row>
    <row r="62" spans="2:7" outlineLevel="1" x14ac:dyDescent="0.2">
      <c r="B62" s="42" t="s">
        <v>108</v>
      </c>
      <c r="C62" s="42" t="s">
        <v>78</v>
      </c>
      <c r="D62" s="44">
        <v>0.15</v>
      </c>
      <c r="E62" s="42" t="s">
        <v>154</v>
      </c>
      <c r="F62" s="42" t="s">
        <v>82</v>
      </c>
      <c r="G62" s="44">
        <v>0.15</v>
      </c>
    </row>
    <row r="63" spans="2:7" ht="16" outlineLevel="1" thickBot="1" x14ac:dyDescent="0.25">
      <c r="B63" s="40" t="s">
        <v>109</v>
      </c>
      <c r="C63" s="40" t="s">
        <v>79</v>
      </c>
      <c r="D63" s="45">
        <v>6.3496392385900408E-2</v>
      </c>
      <c r="E63" s="40" t="s">
        <v>155</v>
      </c>
      <c r="F63" s="40" t="s">
        <v>82</v>
      </c>
      <c r="G63" s="45">
        <v>6.3496392385900408E-2</v>
      </c>
    </row>
    <row r="64" spans="2:7" x14ac:dyDescent="0.2">
      <c r="D64" s="37"/>
      <c r="G6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77D0-8088-9D41-A2B8-94A94631F554}">
  <dimension ref="A1:G64"/>
  <sheetViews>
    <sheetView showGridLines="0" workbookViewId="0">
      <selection activeCell="I26" sqref="I26"/>
    </sheetView>
  </sheetViews>
  <sheetFormatPr baseColWidth="10" defaultRowHeight="15" outlineLevelRow="1" x14ac:dyDescent="0.2"/>
  <cols>
    <col min="1" max="1" width="2.33203125" customWidth="1"/>
    <col min="2" max="2" width="7" bestFit="1" customWidth="1"/>
    <col min="3" max="3" width="8.5" bestFit="1" customWidth="1"/>
    <col min="4" max="5" width="12.1640625" bestFit="1" customWidth="1"/>
    <col min="6" max="6" width="10.1640625" bestFit="1" customWidth="1"/>
    <col min="7" max="7" width="12.1640625" bestFit="1" customWidth="1"/>
  </cols>
  <sheetData>
    <row r="1" spans="1:5" x14ac:dyDescent="0.2">
      <c r="A1" s="6" t="s">
        <v>49</v>
      </c>
    </row>
    <row r="2" spans="1:5" x14ac:dyDescent="0.2">
      <c r="A2" s="6" t="s">
        <v>174</v>
      </c>
    </row>
    <row r="3" spans="1:5" x14ac:dyDescent="0.2">
      <c r="A3" s="6" t="s">
        <v>180</v>
      </c>
    </row>
    <row r="4" spans="1:5" x14ac:dyDescent="0.2">
      <c r="A4" s="6" t="s">
        <v>50</v>
      </c>
    </row>
    <row r="5" spans="1:5" x14ac:dyDescent="0.2">
      <c r="A5" s="6" t="s">
        <v>51</v>
      </c>
    </row>
    <row r="6" spans="1:5" outlineLevel="1" x14ac:dyDescent="0.2">
      <c r="A6" s="6"/>
      <c r="B6" t="s">
        <v>52</v>
      </c>
    </row>
    <row r="7" spans="1:5" outlineLevel="1" x14ac:dyDescent="0.2">
      <c r="A7" s="6"/>
      <c r="B7" t="s">
        <v>181</v>
      </c>
    </row>
    <row r="8" spans="1:5" outlineLevel="1" x14ac:dyDescent="0.2">
      <c r="A8" s="6"/>
      <c r="B8" t="s">
        <v>178</v>
      </c>
    </row>
    <row r="9" spans="1:5" x14ac:dyDescent="0.2">
      <c r="A9" s="6" t="s">
        <v>53</v>
      </c>
    </row>
    <row r="10" spans="1:5" outlineLevel="1" x14ac:dyDescent="0.2">
      <c r="B10" t="s">
        <v>54</v>
      </c>
    </row>
    <row r="11" spans="1:5" outlineLevel="1" x14ac:dyDescent="0.2">
      <c r="B11" t="s">
        <v>55</v>
      </c>
    </row>
    <row r="12" spans="1:5" outlineLevel="1" x14ac:dyDescent="0.2">
      <c r="B12" t="s">
        <v>56</v>
      </c>
    </row>
    <row r="14" spans="1:5" ht="16" thickBot="1" x14ac:dyDescent="0.25">
      <c r="A14" t="s">
        <v>57</v>
      </c>
    </row>
    <row r="15" spans="1:5" ht="16" thickBot="1" x14ac:dyDescent="0.25">
      <c r="B15" s="41" t="s">
        <v>58</v>
      </c>
      <c r="C15" s="41" t="s">
        <v>59</v>
      </c>
      <c r="D15" s="41" t="s">
        <v>60</v>
      </c>
      <c r="E15" s="41" t="s">
        <v>61</v>
      </c>
    </row>
    <row r="16" spans="1:5" ht="16" thickBot="1" x14ac:dyDescent="0.25">
      <c r="B16" s="40" t="s">
        <v>98</v>
      </c>
      <c r="C16" s="40" t="s">
        <v>69</v>
      </c>
      <c r="D16" s="43">
        <v>0.35848196713398256</v>
      </c>
      <c r="E16" s="51">
        <v>0.26195513587426444</v>
      </c>
    </row>
    <row r="19" spans="1:6" ht="16" thickBot="1" x14ac:dyDescent="0.25">
      <c r="A19" t="s">
        <v>62</v>
      </c>
    </row>
    <row r="20" spans="1:6" ht="16" thickBot="1" x14ac:dyDescent="0.25">
      <c r="B20" s="41" t="s">
        <v>58</v>
      </c>
      <c r="C20" s="41" t="s">
        <v>59</v>
      </c>
      <c r="D20" s="41" t="s">
        <v>60</v>
      </c>
      <c r="E20" s="41" t="s">
        <v>61</v>
      </c>
      <c r="F20" s="41" t="s">
        <v>63</v>
      </c>
    </row>
    <row r="21" spans="1:6" x14ac:dyDescent="0.2">
      <c r="B21" s="47" t="s">
        <v>45</v>
      </c>
      <c r="C21" s="46"/>
      <c r="D21" s="46"/>
      <c r="E21" s="46"/>
      <c r="F21" s="46"/>
    </row>
    <row r="22" spans="1:6" outlineLevel="1" x14ac:dyDescent="0.2">
      <c r="B22" s="42" t="s">
        <v>99</v>
      </c>
      <c r="C22" s="42" t="s">
        <v>70</v>
      </c>
      <c r="D22" s="44">
        <v>-3.9347509259957447E-2</v>
      </c>
      <c r="E22" s="49">
        <v>-0.2</v>
      </c>
      <c r="F22" s="42" t="s">
        <v>71</v>
      </c>
    </row>
    <row r="23" spans="1:6" outlineLevel="1" x14ac:dyDescent="0.2">
      <c r="B23" s="42" t="s">
        <v>100</v>
      </c>
      <c r="C23" s="42" t="s">
        <v>83</v>
      </c>
      <c r="D23" s="44">
        <v>-1.0210809676626202</v>
      </c>
      <c r="E23" s="49">
        <v>8.9388872561426594E-2</v>
      </c>
      <c r="F23" s="42" t="s">
        <v>71</v>
      </c>
    </row>
    <row r="24" spans="1:6" outlineLevel="1" x14ac:dyDescent="0.2">
      <c r="B24" s="42" t="s">
        <v>101</v>
      </c>
      <c r="C24" s="42" t="s">
        <v>72</v>
      </c>
      <c r="D24" s="44">
        <v>3.661030062863161E-2</v>
      </c>
      <c r="E24" s="49">
        <v>-2.4373609190332917E-3</v>
      </c>
      <c r="F24" s="42" t="s">
        <v>71</v>
      </c>
    </row>
    <row r="25" spans="1:6" outlineLevel="1" x14ac:dyDescent="0.2">
      <c r="B25" s="42" t="s">
        <v>102</v>
      </c>
      <c r="C25" s="42" t="s">
        <v>73</v>
      </c>
      <c r="D25" s="44">
        <v>0.57525098400701935</v>
      </c>
      <c r="E25" s="49">
        <v>9.6721211674828694E-2</v>
      </c>
      <c r="F25" s="42" t="s">
        <v>71</v>
      </c>
    </row>
    <row r="26" spans="1:6" outlineLevel="1" x14ac:dyDescent="0.2">
      <c r="B26" s="42" t="s">
        <v>103</v>
      </c>
      <c r="C26" s="42" t="s">
        <v>74</v>
      </c>
      <c r="D26" s="44">
        <v>-0.57793103132729928</v>
      </c>
      <c r="E26" s="49">
        <v>-0.15451049294981112</v>
      </c>
      <c r="F26" s="42" t="s">
        <v>71</v>
      </c>
    </row>
    <row r="27" spans="1:6" outlineLevel="1" x14ac:dyDescent="0.2">
      <c r="B27" s="42" t="s">
        <v>104</v>
      </c>
      <c r="C27" s="42" t="s">
        <v>75</v>
      </c>
      <c r="D27" s="44">
        <v>2.5455436545708419</v>
      </c>
      <c r="E27" s="49">
        <v>0.35</v>
      </c>
      <c r="F27" s="42" t="s">
        <v>71</v>
      </c>
    </row>
    <row r="28" spans="1:6" outlineLevel="1" x14ac:dyDescent="0.2">
      <c r="B28" s="42" t="s">
        <v>105</v>
      </c>
      <c r="C28" s="42" t="s">
        <v>84</v>
      </c>
      <c r="D28" s="44">
        <v>-0.20681624749371896</v>
      </c>
      <c r="E28" s="49">
        <v>0.35</v>
      </c>
      <c r="F28" s="42" t="s">
        <v>71</v>
      </c>
    </row>
    <row r="29" spans="1:6" outlineLevel="1" x14ac:dyDescent="0.2">
      <c r="B29" s="42" t="s">
        <v>106</v>
      </c>
      <c r="C29" s="42" t="s">
        <v>76</v>
      </c>
      <c r="D29" s="44">
        <v>-0.43289763201672321</v>
      </c>
      <c r="E29" s="49">
        <v>-0.2</v>
      </c>
      <c r="F29" s="42" t="s">
        <v>71</v>
      </c>
    </row>
    <row r="30" spans="1:6" outlineLevel="1" x14ac:dyDescent="0.2">
      <c r="B30" s="42" t="s">
        <v>107</v>
      </c>
      <c r="C30" s="42" t="s">
        <v>77</v>
      </c>
      <c r="D30" s="44">
        <v>0.81911785429645345</v>
      </c>
      <c r="E30" s="49">
        <v>0.35</v>
      </c>
      <c r="F30" s="42" t="s">
        <v>71</v>
      </c>
    </row>
    <row r="31" spans="1:6" outlineLevel="1" x14ac:dyDescent="0.2">
      <c r="B31" s="42" t="s">
        <v>108</v>
      </c>
      <c r="C31" s="42" t="s">
        <v>78</v>
      </c>
      <c r="D31" s="44">
        <v>0.24852410936338096</v>
      </c>
      <c r="E31" s="49">
        <v>0.35</v>
      </c>
      <c r="F31" s="42" t="s">
        <v>71</v>
      </c>
    </row>
    <row r="32" spans="1:6" ht="16" outlineLevel="1" thickBot="1" x14ac:dyDescent="0.25">
      <c r="B32" s="40" t="s">
        <v>109</v>
      </c>
      <c r="C32" s="40" t="s">
        <v>79</v>
      </c>
      <c r="D32" s="45">
        <v>-0.94697351510600714</v>
      </c>
      <c r="E32" s="50">
        <v>-2.9162209022743069E-2</v>
      </c>
      <c r="F32" s="40" t="s">
        <v>71</v>
      </c>
    </row>
    <row r="33" spans="1:7" x14ac:dyDescent="0.2">
      <c r="D33" s="37"/>
      <c r="E33" s="37"/>
    </row>
    <row r="36" spans="1:7" ht="16" thickBot="1" x14ac:dyDescent="0.25">
      <c r="A36" t="s">
        <v>64</v>
      </c>
    </row>
    <row r="37" spans="1:7" ht="16" thickBot="1" x14ac:dyDescent="0.25">
      <c r="B37" s="41" t="s">
        <v>58</v>
      </c>
      <c r="C37" s="41" t="s">
        <v>59</v>
      </c>
      <c r="D37" s="41" t="s">
        <v>65</v>
      </c>
      <c r="E37" s="41" t="s">
        <v>66</v>
      </c>
      <c r="F37" s="41" t="s">
        <v>67</v>
      </c>
      <c r="G37" s="41" t="s">
        <v>68</v>
      </c>
    </row>
    <row r="38" spans="1:7" x14ac:dyDescent="0.2">
      <c r="B38" s="42" t="s">
        <v>110</v>
      </c>
      <c r="C38" s="42" t="s">
        <v>80</v>
      </c>
      <c r="D38" s="42">
        <v>1.0000000213446678</v>
      </c>
      <c r="E38" s="42" t="s">
        <v>111</v>
      </c>
      <c r="F38" s="42" t="s">
        <v>81</v>
      </c>
      <c r="G38" s="42">
        <v>0</v>
      </c>
    </row>
    <row r="39" spans="1:7" x14ac:dyDescent="0.2">
      <c r="B39" s="48" t="s">
        <v>87</v>
      </c>
      <c r="C39" s="42"/>
      <c r="D39" s="42"/>
      <c r="E39" s="42"/>
      <c r="F39" s="42"/>
      <c r="G39" s="42"/>
    </row>
    <row r="40" spans="1:7" outlineLevel="1" x14ac:dyDescent="0.2">
      <c r="B40" s="42" t="s">
        <v>99</v>
      </c>
      <c r="C40" s="42" t="s">
        <v>70</v>
      </c>
      <c r="D40" s="44">
        <v>-0.2</v>
      </c>
      <c r="E40" s="42" t="s">
        <v>112</v>
      </c>
      <c r="F40" s="42" t="s">
        <v>82</v>
      </c>
      <c r="G40" s="42">
        <v>0.55000000000000004</v>
      </c>
    </row>
    <row r="41" spans="1:7" outlineLevel="1" x14ac:dyDescent="0.2">
      <c r="B41" s="42" t="s">
        <v>100</v>
      </c>
      <c r="C41" s="42" t="s">
        <v>83</v>
      </c>
      <c r="D41" s="44">
        <v>8.9388872561426594E-2</v>
      </c>
      <c r="E41" s="42" t="s">
        <v>113</v>
      </c>
      <c r="F41" s="42" t="s">
        <v>82</v>
      </c>
      <c r="G41" s="42">
        <v>0.2606111274385734</v>
      </c>
    </row>
    <row r="42" spans="1:7" outlineLevel="1" x14ac:dyDescent="0.2">
      <c r="B42" s="42" t="s">
        <v>101</v>
      </c>
      <c r="C42" s="42" t="s">
        <v>72</v>
      </c>
      <c r="D42" s="44">
        <v>-2.4373609190332917E-3</v>
      </c>
      <c r="E42" s="42" t="s">
        <v>114</v>
      </c>
      <c r="F42" s="42" t="s">
        <v>82</v>
      </c>
      <c r="G42" s="42">
        <v>0.35243736091903327</v>
      </c>
    </row>
    <row r="43" spans="1:7" outlineLevel="1" x14ac:dyDescent="0.2">
      <c r="B43" s="42" t="s">
        <v>102</v>
      </c>
      <c r="C43" s="42" t="s">
        <v>73</v>
      </c>
      <c r="D43" s="44">
        <v>9.6721211674828694E-2</v>
      </c>
      <c r="E43" s="42" t="s">
        <v>115</v>
      </c>
      <c r="F43" s="42" t="s">
        <v>82</v>
      </c>
      <c r="G43" s="42">
        <v>0.25327878832517126</v>
      </c>
    </row>
    <row r="44" spans="1:7" outlineLevel="1" x14ac:dyDescent="0.2">
      <c r="B44" s="42" t="s">
        <v>103</v>
      </c>
      <c r="C44" s="42" t="s">
        <v>74</v>
      </c>
      <c r="D44" s="44">
        <v>-0.15451049294981112</v>
      </c>
      <c r="E44" s="42" t="s">
        <v>116</v>
      </c>
      <c r="F44" s="42" t="s">
        <v>82</v>
      </c>
      <c r="G44" s="42">
        <v>0.5045104929498111</v>
      </c>
    </row>
    <row r="45" spans="1:7" outlineLevel="1" x14ac:dyDescent="0.2">
      <c r="B45" s="42" t="s">
        <v>104</v>
      </c>
      <c r="C45" s="42" t="s">
        <v>75</v>
      </c>
      <c r="D45" s="44">
        <v>0.35</v>
      </c>
      <c r="E45" s="42" t="s">
        <v>117</v>
      </c>
      <c r="F45" s="42" t="s">
        <v>81</v>
      </c>
      <c r="G45" s="42">
        <v>0</v>
      </c>
    </row>
    <row r="46" spans="1:7" outlineLevel="1" x14ac:dyDescent="0.2">
      <c r="B46" s="42" t="s">
        <v>105</v>
      </c>
      <c r="C46" s="42" t="s">
        <v>84</v>
      </c>
      <c r="D46" s="44">
        <v>0.35</v>
      </c>
      <c r="E46" s="42" t="s">
        <v>118</v>
      </c>
      <c r="F46" s="42" t="s">
        <v>81</v>
      </c>
      <c r="G46" s="42">
        <v>0</v>
      </c>
    </row>
    <row r="47" spans="1:7" outlineLevel="1" x14ac:dyDescent="0.2">
      <c r="B47" s="42" t="s">
        <v>106</v>
      </c>
      <c r="C47" s="42" t="s">
        <v>76</v>
      </c>
      <c r="D47" s="44">
        <v>-0.2</v>
      </c>
      <c r="E47" s="42" t="s">
        <v>119</v>
      </c>
      <c r="F47" s="42" t="s">
        <v>82</v>
      </c>
      <c r="G47" s="42">
        <v>0.55000000000000004</v>
      </c>
    </row>
    <row r="48" spans="1:7" outlineLevel="1" x14ac:dyDescent="0.2">
      <c r="B48" s="42" t="s">
        <v>107</v>
      </c>
      <c r="C48" s="42" t="s">
        <v>77</v>
      </c>
      <c r="D48" s="44">
        <v>0.35</v>
      </c>
      <c r="E48" s="42" t="s">
        <v>120</v>
      </c>
      <c r="F48" s="42" t="s">
        <v>81</v>
      </c>
      <c r="G48" s="42">
        <v>0</v>
      </c>
    </row>
    <row r="49" spans="2:7" outlineLevel="1" x14ac:dyDescent="0.2">
      <c r="B49" s="42" t="s">
        <v>108</v>
      </c>
      <c r="C49" s="42" t="s">
        <v>78</v>
      </c>
      <c r="D49" s="44">
        <v>0.35</v>
      </c>
      <c r="E49" s="42" t="s">
        <v>121</v>
      </c>
      <c r="F49" s="42" t="s">
        <v>81</v>
      </c>
      <c r="G49" s="42">
        <v>0</v>
      </c>
    </row>
    <row r="50" spans="2:7" outlineLevel="1" x14ac:dyDescent="0.2">
      <c r="B50" s="42" t="s">
        <v>109</v>
      </c>
      <c r="C50" s="42" t="s">
        <v>79</v>
      </c>
      <c r="D50" s="44">
        <v>-2.9162209022743069E-2</v>
      </c>
      <c r="E50" s="42" t="s">
        <v>122</v>
      </c>
      <c r="F50" s="42" t="s">
        <v>82</v>
      </c>
      <c r="G50" s="42">
        <v>0.37916220902274306</v>
      </c>
    </row>
    <row r="51" spans="2:7" x14ac:dyDescent="0.2">
      <c r="B51" s="42"/>
      <c r="C51" s="42"/>
      <c r="D51" s="44"/>
      <c r="E51" s="42"/>
      <c r="F51" s="42"/>
      <c r="G51" s="42"/>
    </row>
    <row r="52" spans="2:7" x14ac:dyDescent="0.2">
      <c r="B52" s="48" t="s">
        <v>88</v>
      </c>
      <c r="C52" s="42"/>
      <c r="D52" s="44"/>
      <c r="E52" s="42"/>
      <c r="F52" s="42"/>
      <c r="G52" s="42"/>
    </row>
    <row r="53" spans="2:7" outlineLevel="1" x14ac:dyDescent="0.2">
      <c r="B53" s="42" t="s">
        <v>99</v>
      </c>
      <c r="C53" s="42" t="s">
        <v>70</v>
      </c>
      <c r="D53" s="44">
        <v>-0.2</v>
      </c>
      <c r="E53" s="42" t="s">
        <v>123</v>
      </c>
      <c r="F53" s="42" t="s">
        <v>81</v>
      </c>
      <c r="G53" s="44">
        <v>0</v>
      </c>
    </row>
    <row r="54" spans="2:7" outlineLevel="1" x14ac:dyDescent="0.2">
      <c r="B54" s="42" t="s">
        <v>100</v>
      </c>
      <c r="C54" s="42" t="s">
        <v>83</v>
      </c>
      <c r="D54" s="44">
        <v>8.9388872561426594E-2</v>
      </c>
      <c r="E54" s="42" t="s">
        <v>124</v>
      </c>
      <c r="F54" s="42" t="s">
        <v>82</v>
      </c>
      <c r="G54" s="44">
        <v>0.28938887256142659</v>
      </c>
    </row>
    <row r="55" spans="2:7" outlineLevel="1" x14ac:dyDescent="0.2">
      <c r="B55" s="42" t="s">
        <v>101</v>
      </c>
      <c r="C55" s="42" t="s">
        <v>72</v>
      </c>
      <c r="D55" s="44">
        <v>-2.4373609190332917E-3</v>
      </c>
      <c r="E55" s="42" t="s">
        <v>125</v>
      </c>
      <c r="F55" s="42" t="s">
        <v>82</v>
      </c>
      <c r="G55" s="44">
        <v>0.19756263908096672</v>
      </c>
    </row>
    <row r="56" spans="2:7" outlineLevel="1" x14ac:dyDescent="0.2">
      <c r="B56" s="42" t="s">
        <v>102</v>
      </c>
      <c r="C56" s="42" t="s">
        <v>73</v>
      </c>
      <c r="D56" s="44">
        <v>9.6721211674828694E-2</v>
      </c>
      <c r="E56" s="42" t="s">
        <v>126</v>
      </c>
      <c r="F56" s="42" t="s">
        <v>82</v>
      </c>
      <c r="G56" s="44">
        <v>0.29672121167482868</v>
      </c>
    </row>
    <row r="57" spans="2:7" outlineLevel="1" x14ac:dyDescent="0.2">
      <c r="B57" s="42" t="s">
        <v>103</v>
      </c>
      <c r="C57" s="42" t="s">
        <v>74</v>
      </c>
      <c r="D57" s="44">
        <v>-0.15451049294981112</v>
      </c>
      <c r="E57" s="42" t="s">
        <v>127</v>
      </c>
      <c r="F57" s="42" t="s">
        <v>82</v>
      </c>
      <c r="G57" s="44">
        <v>4.5489507050188893E-2</v>
      </c>
    </row>
    <row r="58" spans="2:7" outlineLevel="1" x14ac:dyDescent="0.2">
      <c r="B58" s="42" t="s">
        <v>104</v>
      </c>
      <c r="C58" s="42" t="s">
        <v>75</v>
      </c>
      <c r="D58" s="44">
        <v>0.35</v>
      </c>
      <c r="E58" s="42" t="s">
        <v>128</v>
      </c>
      <c r="F58" s="42" t="s">
        <v>82</v>
      </c>
      <c r="G58" s="44">
        <v>0.55000000000000004</v>
      </c>
    </row>
    <row r="59" spans="2:7" outlineLevel="1" x14ac:dyDescent="0.2">
      <c r="B59" s="42" t="s">
        <v>105</v>
      </c>
      <c r="C59" s="42" t="s">
        <v>84</v>
      </c>
      <c r="D59" s="44">
        <v>0.35</v>
      </c>
      <c r="E59" s="42" t="s">
        <v>129</v>
      </c>
      <c r="F59" s="42" t="s">
        <v>82</v>
      </c>
      <c r="G59" s="44">
        <v>0.55000000000000004</v>
      </c>
    </row>
    <row r="60" spans="2:7" outlineLevel="1" x14ac:dyDescent="0.2">
      <c r="B60" s="42" t="s">
        <v>106</v>
      </c>
      <c r="C60" s="42" t="s">
        <v>76</v>
      </c>
      <c r="D60" s="44">
        <v>-0.2</v>
      </c>
      <c r="E60" s="42" t="s">
        <v>130</v>
      </c>
      <c r="F60" s="42" t="s">
        <v>81</v>
      </c>
      <c r="G60" s="44">
        <v>0</v>
      </c>
    </row>
    <row r="61" spans="2:7" outlineLevel="1" x14ac:dyDescent="0.2">
      <c r="B61" s="42" t="s">
        <v>107</v>
      </c>
      <c r="C61" s="42" t="s">
        <v>77</v>
      </c>
      <c r="D61" s="44">
        <v>0.35</v>
      </c>
      <c r="E61" s="42" t="s">
        <v>131</v>
      </c>
      <c r="F61" s="42" t="s">
        <v>82</v>
      </c>
      <c r="G61" s="44">
        <v>0.55000000000000004</v>
      </c>
    </row>
    <row r="62" spans="2:7" outlineLevel="1" x14ac:dyDescent="0.2">
      <c r="B62" s="42" t="s">
        <v>108</v>
      </c>
      <c r="C62" s="42" t="s">
        <v>78</v>
      </c>
      <c r="D62" s="44">
        <v>0.35</v>
      </c>
      <c r="E62" s="42" t="s">
        <v>132</v>
      </c>
      <c r="F62" s="42" t="s">
        <v>82</v>
      </c>
      <c r="G62" s="44">
        <v>0.55000000000000004</v>
      </c>
    </row>
    <row r="63" spans="2:7" ht="16" outlineLevel="1" thickBot="1" x14ac:dyDescent="0.25">
      <c r="B63" s="40" t="s">
        <v>109</v>
      </c>
      <c r="C63" s="40" t="s">
        <v>79</v>
      </c>
      <c r="D63" s="45">
        <v>-2.9162209022743069E-2</v>
      </c>
      <c r="E63" s="40" t="s">
        <v>133</v>
      </c>
      <c r="F63" s="40" t="s">
        <v>82</v>
      </c>
      <c r="G63" s="45">
        <v>0.17083779097725693</v>
      </c>
    </row>
    <row r="64" spans="2:7" x14ac:dyDescent="0.2">
      <c r="D64" s="37"/>
      <c r="G64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1E96-C944-8A41-882C-E957C9DE6B84}">
  <dimension ref="A1:G12"/>
  <sheetViews>
    <sheetView showGridLines="0" workbookViewId="0">
      <selection activeCell="J22" sqref="J22"/>
    </sheetView>
  </sheetViews>
  <sheetFormatPr baseColWidth="10" defaultRowHeight="15" x14ac:dyDescent="0.2"/>
  <cols>
    <col min="7" max="7" width="19.83203125" customWidth="1"/>
  </cols>
  <sheetData>
    <row r="1" spans="1:7" x14ac:dyDescent="0.2">
      <c r="A1" s="61" t="s">
        <v>179</v>
      </c>
      <c r="B1" s="61"/>
      <c r="C1" s="61"/>
      <c r="D1" s="61"/>
      <c r="E1" s="61"/>
      <c r="F1" s="61"/>
      <c r="G1" s="61"/>
    </row>
    <row r="3" spans="1:7" ht="15" customHeight="1" x14ac:dyDescent="0.2">
      <c r="A3" s="69" t="s">
        <v>182</v>
      </c>
      <c r="B3" s="69"/>
      <c r="C3" s="69"/>
      <c r="D3" s="69"/>
      <c r="E3" s="69"/>
      <c r="F3" s="69"/>
      <c r="G3" s="69"/>
    </row>
    <row r="4" spans="1:7" x14ac:dyDescent="0.2">
      <c r="A4" s="69"/>
      <c r="B4" s="69"/>
      <c r="C4" s="69"/>
      <c r="D4" s="69"/>
      <c r="E4" s="69"/>
      <c r="F4" s="69"/>
      <c r="G4" s="69"/>
    </row>
    <row r="5" spans="1:7" x14ac:dyDescent="0.2">
      <c r="A5" s="69"/>
      <c r="B5" s="69"/>
      <c r="C5" s="69"/>
      <c r="D5" s="69"/>
      <c r="E5" s="69"/>
      <c r="F5" s="69"/>
      <c r="G5" s="69"/>
    </row>
    <row r="6" spans="1:7" x14ac:dyDescent="0.2">
      <c r="A6" s="69"/>
      <c r="B6" s="69"/>
      <c r="C6" s="69"/>
      <c r="D6" s="69"/>
      <c r="E6" s="69"/>
      <c r="F6" s="69"/>
      <c r="G6" s="69"/>
    </row>
    <row r="7" spans="1:7" x14ac:dyDescent="0.2">
      <c r="A7" s="69"/>
      <c r="B7" s="69"/>
      <c r="C7" s="69"/>
      <c r="D7" s="69"/>
      <c r="E7" s="69"/>
      <c r="F7" s="69"/>
      <c r="G7" s="69"/>
    </row>
    <row r="8" spans="1:7" x14ac:dyDescent="0.2">
      <c r="A8" s="69"/>
      <c r="B8" s="69"/>
      <c r="C8" s="69"/>
      <c r="D8" s="69"/>
      <c r="E8" s="69"/>
      <c r="F8" s="69"/>
      <c r="G8" s="69"/>
    </row>
    <row r="9" spans="1:7" x14ac:dyDescent="0.2">
      <c r="A9" s="69"/>
      <c r="B9" s="69"/>
      <c r="C9" s="69"/>
      <c r="D9" s="69"/>
      <c r="E9" s="69"/>
      <c r="F9" s="69"/>
      <c r="G9" s="69"/>
    </row>
    <row r="10" spans="1:7" x14ac:dyDescent="0.2">
      <c r="A10" s="69"/>
      <c r="B10" s="69"/>
      <c r="C10" s="69"/>
      <c r="D10" s="69"/>
      <c r="E10" s="69"/>
      <c r="F10" s="69"/>
      <c r="G10" s="69"/>
    </row>
    <row r="11" spans="1:7" x14ac:dyDescent="0.2">
      <c r="A11" s="69"/>
      <c r="B11" s="69"/>
      <c r="C11" s="69"/>
      <c r="D11" s="69"/>
      <c r="E11" s="69"/>
      <c r="F11" s="69"/>
      <c r="G11" s="69"/>
    </row>
    <row r="12" spans="1:7" x14ac:dyDescent="0.2">
      <c r="A12" s="69"/>
      <c r="B12" s="69"/>
      <c r="C12" s="69"/>
      <c r="D12" s="69"/>
      <c r="E12" s="69"/>
      <c r="F12" s="69"/>
      <c r="G12" s="69"/>
    </row>
  </sheetData>
  <mergeCells count="2">
    <mergeCell ref="A3:G12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E644-C11D-1D42-8196-F57B79B12C8B}">
  <dimension ref="A1:P7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4" max="14" width="14.1640625" customWidth="1"/>
  </cols>
  <sheetData>
    <row r="1" spans="1:16" x14ac:dyDescent="0.2">
      <c r="A1" s="1" t="s">
        <v>162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163</v>
      </c>
      <c r="N1" s="1" t="s">
        <v>164</v>
      </c>
      <c r="O1" s="1" t="s">
        <v>165</v>
      </c>
      <c r="P1" s="1" t="s">
        <v>17</v>
      </c>
    </row>
    <row r="2" spans="1:16" x14ac:dyDescent="0.2">
      <c r="A2" t="s">
        <v>96</v>
      </c>
      <c r="B2">
        <v>0.14000000000000001</v>
      </c>
      <c r="C2">
        <v>0.11</v>
      </c>
      <c r="D2">
        <v>0.05</v>
      </c>
      <c r="E2">
        <v>0.14000000000000001</v>
      </c>
      <c r="F2">
        <v>0.09</v>
      </c>
      <c r="G2">
        <v>0.12</v>
      </c>
      <c r="H2">
        <v>0.05</v>
      </c>
      <c r="I2">
        <v>0.15</v>
      </c>
      <c r="J2">
        <v>0.03</v>
      </c>
      <c r="K2">
        <v>0.04</v>
      </c>
      <c r="L2">
        <v>0.08</v>
      </c>
      <c r="M2">
        <v>1</v>
      </c>
      <c r="N2">
        <v>1.1143211374448349E-2</v>
      </c>
      <c r="O2">
        <v>5.396825131183116E-2</v>
      </c>
      <c r="P2">
        <v>0.16015363040961719</v>
      </c>
    </row>
    <row r="3" spans="1:16" x14ac:dyDescent="0.2">
      <c r="A3" t="s">
        <v>166</v>
      </c>
      <c r="B3">
        <v>-0.29689066582620971</v>
      </c>
      <c r="C3">
        <v>0.21359132588209581</v>
      </c>
      <c r="D3">
        <v>-2.6461026106644241E-2</v>
      </c>
      <c r="E3">
        <v>0.1622356045328312</v>
      </c>
      <c r="F3">
        <v>-0.35487225254131521</v>
      </c>
      <c r="G3">
        <v>-0.17266528499888389</v>
      </c>
      <c r="H3">
        <v>0.75769443543247628</v>
      </c>
      <c r="I3">
        <v>-0.30559887108108108</v>
      </c>
      <c r="J3">
        <v>0.23810509044963021</v>
      </c>
      <c r="K3">
        <v>0.48122155880184259</v>
      </c>
      <c r="L3">
        <v>0.30364008545525811</v>
      </c>
      <c r="M3">
        <v>1</v>
      </c>
      <c r="N3">
        <v>8.1210505602191656E-3</v>
      </c>
      <c r="O3">
        <v>3.4772557154163032E-2</v>
      </c>
      <c r="P3">
        <v>0.16165191807143819</v>
      </c>
    </row>
    <row r="4" spans="1:16" x14ac:dyDescent="0.2">
      <c r="A4" t="s">
        <v>167</v>
      </c>
      <c r="B4">
        <v>-0.26154783304177959</v>
      </c>
      <c r="C4">
        <v>4.4154270121986708E-2</v>
      </c>
      <c r="D4">
        <v>-1.7805456748528421E-2</v>
      </c>
      <c r="E4">
        <v>0.2189142097298743</v>
      </c>
      <c r="F4">
        <v>-0.3854814016840496</v>
      </c>
      <c r="G4">
        <v>0.20036182390247911</v>
      </c>
      <c r="H4">
        <v>0.62533114119373312</v>
      </c>
      <c r="I4">
        <v>-0.32306898576202392</v>
      </c>
      <c r="J4">
        <v>0.31783989877491359</v>
      </c>
      <c r="K4">
        <v>0.44928773788370768</v>
      </c>
      <c r="L4">
        <v>0.13201459562968701</v>
      </c>
      <c r="M4">
        <v>1</v>
      </c>
      <c r="N4">
        <v>1.114321137444836E-2</v>
      </c>
      <c r="O4">
        <v>3.6032536401567221E-2</v>
      </c>
      <c r="P4">
        <v>0.2398724108156991</v>
      </c>
    </row>
    <row r="5" spans="1:16" x14ac:dyDescent="0.2">
      <c r="A5" t="s">
        <v>45</v>
      </c>
      <c r="B5">
        <v>-3.9349415017146117E-2</v>
      </c>
      <c r="C5">
        <v>-1.021087046958669</v>
      </c>
      <c r="D5">
        <v>3.6611624932685681E-2</v>
      </c>
      <c r="E5">
        <v>0.57524943864151301</v>
      </c>
      <c r="F5">
        <v>-0.57791941473409458</v>
      </c>
      <c r="G5">
        <v>2.5455624472860019</v>
      </c>
      <c r="H5">
        <v>-0.20682950545749171</v>
      </c>
      <c r="I5">
        <v>-0.43290262214570718</v>
      </c>
      <c r="J5">
        <v>0.81912819050404329</v>
      </c>
      <c r="K5">
        <v>0.24852158728195009</v>
      </c>
      <c r="L5">
        <v>-0.94698528433308615</v>
      </c>
      <c r="M5">
        <v>0.99999999999999978</v>
      </c>
      <c r="N5">
        <v>3.0143367814471678E-2</v>
      </c>
      <c r="O5">
        <v>7.7112247284900196E-2</v>
      </c>
      <c r="P5">
        <v>0.35848219689850352</v>
      </c>
    </row>
    <row r="6" spans="1:16" x14ac:dyDescent="0.2">
      <c r="A6" t="s">
        <v>168</v>
      </c>
      <c r="B6">
        <v>5.1911601493633851E-17</v>
      </c>
      <c r="C6">
        <v>0.15</v>
      </c>
      <c r="D6">
        <v>9.3091750669887399E-17</v>
      </c>
      <c r="E6">
        <v>4.1989792365246158E-2</v>
      </c>
      <c r="F6">
        <v>0.15</v>
      </c>
      <c r="G6">
        <v>0.14999999999999991</v>
      </c>
      <c r="H6">
        <v>0.15</v>
      </c>
      <c r="I6">
        <v>8.0936387592697356E-17</v>
      </c>
      <c r="J6">
        <v>0.14999999999999991</v>
      </c>
      <c r="K6">
        <v>0.14999999999999969</v>
      </c>
      <c r="L6">
        <v>5.8010207634753973E-2</v>
      </c>
      <c r="M6">
        <v>0.99999999999999989</v>
      </c>
      <c r="N6">
        <v>1.1434494944079179E-2</v>
      </c>
      <c r="O6">
        <v>4.6546058583364268E-2</v>
      </c>
      <c r="P6">
        <v>0.19194954881254761</v>
      </c>
    </row>
    <row r="7" spans="1:16" x14ac:dyDescent="0.2">
      <c r="A7" t="s">
        <v>169</v>
      </c>
      <c r="B7">
        <v>-0.2</v>
      </c>
      <c r="C7">
        <v>8.9747816778375483E-2</v>
      </c>
      <c r="D7">
        <v>-2.0569283043036478E-3</v>
      </c>
      <c r="E7">
        <v>9.6733941857243044E-2</v>
      </c>
      <c r="F7">
        <v>-0.154561806152374</v>
      </c>
      <c r="G7">
        <v>0.34999999999999992</v>
      </c>
      <c r="H7">
        <v>0.35</v>
      </c>
      <c r="I7">
        <v>-0.1999999999999999</v>
      </c>
      <c r="J7">
        <v>0.35</v>
      </c>
      <c r="K7">
        <v>0.35</v>
      </c>
      <c r="L7">
        <v>-2.986302417894076E-2</v>
      </c>
      <c r="M7">
        <v>1</v>
      </c>
      <c r="N7">
        <v>1.265001531757988E-2</v>
      </c>
      <c r="O7">
        <v>3.8747198041881932E-2</v>
      </c>
      <c r="P7">
        <v>0.26195482074881132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Q1&amp;Q2</vt:lpstr>
      <vt:lpstr>Q3,Q4,Q5,Q7</vt:lpstr>
      <vt:lpstr>Q6 - Scenario A</vt:lpstr>
      <vt:lpstr>Q6 - Scenario B</vt:lpstr>
      <vt:lpstr>Q6 - C</vt:lpstr>
      <vt:lpstr>Q8 - Python code output</vt:lpstr>
      <vt:lpstr>COVMAT</vt:lpstr>
      <vt:lpstr>COVMAT2</vt:lpstr>
      <vt:lpstr>EMAT</vt:lpstr>
      <vt:lpstr>EPAMAT</vt:lpstr>
      <vt:lpstr>EPBVEC1</vt:lpstr>
      <vt:lpstr>EPBVEC2</vt:lpstr>
      <vt:lpstr>EPORT2</vt:lpstr>
      <vt:lpstr>EPPORT</vt:lpstr>
      <vt:lpstr>EPPORT1</vt:lpstr>
      <vt:lpstr>EPPORT2</vt:lpstr>
      <vt:lpstr>ETF</vt:lpstr>
      <vt:lpstr>GMVAMAT</vt:lpstr>
      <vt:lpstr>GMVBVEC</vt:lpstr>
      <vt:lpstr>GMVPORT</vt:lpstr>
      <vt:lpstr>MUSTAR1</vt:lpstr>
      <vt:lpstr>MUSTAR2</vt:lpstr>
      <vt:lpstr>MUVEC</vt:lpstr>
      <vt:lpstr>ONEVEC</vt:lpstr>
      <vt:lpstr>ORIPORT</vt:lpstr>
      <vt:lpstr>ORP</vt:lpstr>
      <vt:lpstr>RF</vt:lpstr>
      <vt:lpstr>XLB</vt:lpstr>
      <vt:lpstr>XLC</vt:lpstr>
      <vt:lpstr>XLE</vt:lpstr>
      <vt:lpstr>XLF</vt:lpstr>
      <vt:lpstr>XLI</vt:lpstr>
      <vt:lpstr>XLK</vt:lpstr>
      <vt:lpstr>XLP</vt:lpstr>
      <vt:lpstr>XLRE</vt:lpstr>
      <vt:lpstr>XLU</vt:lpstr>
      <vt:lpstr>XLV</vt:lpstr>
      <vt:lpstr>XLY</vt:lpstr>
      <vt:lpstr>ZEROVEC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SAAKET JOSHI</cp:lastModifiedBy>
  <dcterms:created xsi:type="dcterms:W3CDTF">2024-10-20T20:30:44Z</dcterms:created>
  <dcterms:modified xsi:type="dcterms:W3CDTF">2024-10-23T03:54:24Z</dcterms:modified>
</cp:coreProperties>
</file>