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ayden/Dropbox/CODING/lions/"/>
    </mc:Choice>
  </mc:AlternateContent>
  <bookViews>
    <workbookView xWindow="0" yWindow="460" windowWidth="22760" windowHeight="11540" tabRatio="813"/>
  </bookViews>
  <sheets>
    <sheet name="Males_Surv&amp;Repro_age" sheetId="2" r:id="rId1"/>
    <sheet name="Sheet1" sheetId="8" r:id="rId2"/>
    <sheet name="Females_Surv&amp;Repro_age" sheetId="3" r:id="rId3"/>
    <sheet name="Reproduction" sheetId="4" r:id="rId4"/>
    <sheet name="Dispersal_age" sheetId="6" r:id="rId5"/>
    <sheet name="Dispersal_surv" sheetId="5" r:id="rId6"/>
    <sheet name="Male_tenure" sheetId="7" r:id="rId7"/>
  </sheets>
  <definedNames>
    <definedName name="_xlnm._FilterDatabase" localSheetId="4" hidden="1">Dispersal_age!$H$2:$I$23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2" l="1"/>
  <c r="E28" i="2"/>
  <c r="E27" i="2"/>
  <c r="E22" i="2"/>
  <c r="M26" i="2"/>
  <c r="N26" i="2"/>
  <c r="O26" i="2"/>
  <c r="P26" i="2"/>
  <c r="P29" i="2"/>
  <c r="L29" i="2"/>
  <c r="N21" i="2"/>
  <c r="M21" i="2"/>
  <c r="F27" i="2"/>
  <c r="G27" i="2"/>
  <c r="O11" i="2"/>
  <c r="D7" i="8"/>
  <c r="D4" i="8"/>
  <c r="M22" i="2"/>
  <c r="L22" i="2"/>
  <c r="L21" i="2"/>
  <c r="L23" i="2"/>
  <c r="H22" i="2"/>
  <c r="G22" i="2"/>
  <c r="H4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E9" i="4"/>
  <c r="E10" i="4"/>
  <c r="E11" i="4"/>
  <c r="E12" i="4"/>
  <c r="E8" i="4"/>
  <c r="E7" i="4"/>
  <c r="F7" i="4"/>
  <c r="F8" i="4"/>
  <c r="F9" i="4"/>
  <c r="F10" i="4"/>
  <c r="F11" i="4"/>
  <c r="F12" i="4"/>
  <c r="F13" i="4"/>
  <c r="I7" i="7"/>
  <c r="I6" i="7"/>
  <c r="I5" i="7"/>
  <c r="I4" i="7"/>
  <c r="I3" i="7"/>
  <c r="H7" i="7"/>
</calcChain>
</file>

<file path=xl/comments1.xml><?xml version="1.0" encoding="utf-8"?>
<comments xmlns="http://schemas.openxmlformats.org/spreadsheetml/2006/main">
  <authors>
    <author>MLP_Nic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MLP_Nic:</t>
        </r>
        <r>
          <rPr>
            <sz val="9"/>
            <color indexed="81"/>
            <rFont val="Tahoma"/>
            <charset val="1"/>
          </rPr>
          <t xml:space="preserve">
Up until 8yrs eyeballed from Rosenblatt 2014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MLP_Nic:</t>
        </r>
        <r>
          <rPr>
            <sz val="9"/>
            <color indexed="81"/>
            <rFont val="Tahoma"/>
            <charset val="1"/>
          </rPr>
          <t xml:space="preserve">
eyeballed from Packer 1998</t>
        </r>
      </text>
    </comment>
  </commentList>
</comments>
</file>

<file path=xl/comments2.xml><?xml version="1.0" encoding="utf-8"?>
<comments xmlns="http://schemas.openxmlformats.org/spreadsheetml/2006/main">
  <authors>
    <author>MLP_Nic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MLP_Nic:</t>
        </r>
        <r>
          <rPr>
            <sz val="9"/>
            <color indexed="81"/>
            <rFont val="Tahoma"/>
            <charset val="1"/>
          </rPr>
          <t xml:space="preserve">
Up until 8yrs eyeballed from Rosenblatt 2014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MLP_Nic:</t>
        </r>
        <r>
          <rPr>
            <sz val="9"/>
            <color indexed="81"/>
            <rFont val="Tahoma"/>
            <charset val="1"/>
          </rPr>
          <t xml:space="preserve">
eyeballed from Packer 1998</t>
        </r>
      </text>
    </comment>
  </commentList>
</comments>
</file>

<file path=xl/comments3.xml><?xml version="1.0" encoding="utf-8"?>
<comments xmlns="http://schemas.openxmlformats.org/spreadsheetml/2006/main">
  <authors>
    <author>MLP_Nic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MLP_Nic:</t>
        </r>
        <r>
          <rPr>
            <sz val="9"/>
            <color indexed="81"/>
            <rFont val="Tahoma"/>
            <charset val="1"/>
          </rPr>
          <t xml:space="preserve">
Miller, Growls</t>
        </r>
      </text>
    </comment>
  </commentList>
</comments>
</file>

<file path=xl/comments4.xml><?xml version="1.0" encoding="utf-8"?>
<comments xmlns="http://schemas.openxmlformats.org/spreadsheetml/2006/main">
  <authors>
    <author>MLP_Nic</author>
  </authors>
  <commentList>
    <comment ref="C2" authorId="0">
      <text>
        <r>
          <rPr>
            <b/>
            <sz val="9"/>
            <color indexed="81"/>
            <rFont val="Tahoma"/>
            <charset val="1"/>
          </rPr>
          <t>MLP_Nic:</t>
        </r>
        <r>
          <rPr>
            <sz val="9"/>
            <color indexed="81"/>
            <rFont val="Tahoma"/>
            <charset val="1"/>
          </rPr>
          <t xml:space="preserve">
All taken from Elliot 2014 "triggers.csv"</t>
        </r>
      </text>
    </comment>
    <comment ref="D14" authorId="0">
      <text>
        <r>
          <rPr>
            <b/>
            <sz val="9"/>
            <color indexed="81"/>
            <rFont val="Tahoma"/>
            <charset val="1"/>
          </rPr>
          <t>MLP_Nic:</t>
        </r>
        <r>
          <rPr>
            <sz val="9"/>
            <color indexed="81"/>
            <rFont val="Tahoma"/>
            <charset val="1"/>
          </rPr>
          <t xml:space="preserve">
(but if new male present and between 18m and 36m, all females disperse). Also, if pride size exceeds a certain number, all females disperse</t>
        </r>
      </text>
    </comment>
  </commentList>
</comments>
</file>

<file path=xl/comments5.xml><?xml version="1.0" encoding="utf-8"?>
<comments xmlns="http://schemas.openxmlformats.org/spreadsheetml/2006/main">
  <authors>
    <author>MLP_Nic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MLP_Nic:</t>
        </r>
        <r>
          <rPr>
            <sz val="9"/>
            <color indexed="81"/>
            <rFont val="Tahoma"/>
            <charset val="1"/>
          </rPr>
          <t xml:space="preserve">
Predictions made from Elliot 2014_"predictions for survival probability.R"</t>
        </r>
      </text>
    </comment>
  </commentList>
</comments>
</file>

<file path=xl/comments6.xml><?xml version="1.0" encoding="utf-8"?>
<comments xmlns="http://schemas.openxmlformats.org/spreadsheetml/2006/main">
  <authors>
    <author>MLP_Nic</author>
  </authors>
  <commentList>
    <comment ref="B2" authorId="0">
      <text>
        <r>
          <rPr>
            <b/>
            <sz val="9"/>
            <color indexed="81"/>
            <rFont val="Tahoma"/>
            <charset val="1"/>
          </rPr>
          <t>MLP_Nic:</t>
        </r>
        <r>
          <rPr>
            <sz val="9"/>
            <color indexed="81"/>
            <rFont val="Tahoma"/>
            <charset val="1"/>
          </rPr>
          <t xml:space="preserve">
Packeret al. (1998)
</t>
        </r>
      </text>
    </comment>
    <comment ref="G2" authorId="0">
      <text>
        <r>
          <rPr>
            <b/>
            <sz val="9"/>
            <color indexed="81"/>
            <rFont val="Tahoma"/>
            <charset val="1"/>
          </rPr>
          <t>MLP_Nic:</t>
        </r>
        <r>
          <rPr>
            <sz val="9"/>
            <color indexed="81"/>
            <rFont val="Tahoma"/>
            <charset val="1"/>
          </rPr>
          <t xml:space="preserve">
Packer et al. 1988</t>
        </r>
      </text>
    </comment>
    <comment ref="J2" authorId="0">
      <text>
        <r>
          <rPr>
            <b/>
            <sz val="9"/>
            <color indexed="81"/>
            <rFont val="Tahoma"/>
            <charset val="1"/>
          </rPr>
          <t>MLP_Nic:</t>
        </r>
        <r>
          <rPr>
            <sz val="9"/>
            <color indexed="81"/>
            <rFont val="Tahoma"/>
            <charset val="1"/>
          </rPr>
          <t xml:space="preserve">
Made up, need to work this out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MLP_Nic:</t>
        </r>
        <r>
          <rPr>
            <sz val="9"/>
            <color indexed="81"/>
            <rFont val="Tahoma"/>
            <charset val="1"/>
          </rPr>
          <t xml:space="preserve">
Otherwise break into two groups</t>
        </r>
      </text>
    </comment>
  </commentList>
</comments>
</file>

<file path=xl/sharedStrings.xml><?xml version="1.0" encoding="utf-8"?>
<sst xmlns="http://schemas.openxmlformats.org/spreadsheetml/2006/main" count="94" uniqueCount="74">
  <si>
    <t>Age</t>
  </si>
  <si>
    <t>Survival</t>
  </si>
  <si>
    <t>Cub</t>
  </si>
  <si>
    <t>Sub-adult</t>
  </si>
  <si>
    <t>Young adult</t>
  </si>
  <si>
    <t>Prime adult</t>
  </si>
  <si>
    <t>Old adult</t>
  </si>
  <si>
    <t>Repro</t>
  </si>
  <si>
    <t>Inter-birth interval low (months)</t>
  </si>
  <si>
    <t>Inter-birth interval high (months)</t>
  </si>
  <si>
    <t>If all cubs die reproduce within min (months)</t>
  </si>
  <si>
    <t>If all cubs die reproduce within max (months)</t>
  </si>
  <si>
    <t>Females</t>
  </si>
  <si>
    <t>Males</t>
  </si>
  <si>
    <t>Disp.age</t>
  </si>
  <si>
    <t>Surv</t>
  </si>
  <si>
    <t>New male present</t>
  </si>
  <si>
    <t>Sub-male dispersal age</t>
  </si>
  <si>
    <t>Sub-female dispersal age</t>
  </si>
  <si>
    <t>Min</t>
  </si>
  <si>
    <t>Max</t>
  </si>
  <si>
    <t>Mean</t>
  </si>
  <si>
    <t>New male absent</t>
  </si>
  <si>
    <t>Inter-birth interval mean (months)</t>
  </si>
  <si>
    <t>Mean reproductive life span (months</t>
  </si>
  <si>
    <t>Breeding with any female within their territory that does not already have cubs (but see Male_tenure)</t>
  </si>
  <si>
    <t>Min repro life span</t>
  </si>
  <si>
    <t>Max repro life span</t>
  </si>
  <si>
    <t xml:space="preserve">Notes - Male coalitions must compete successfully against other coalitions to gain reisdence of prides. </t>
  </si>
  <si>
    <t>For now, let's say any MALE cub under 20 months dies if male takeover. The rest survive replacement with probabilities on left</t>
  </si>
  <si>
    <t>For now, let's say any FEMALE cub under 18 months dies if male takeover. The rest survive replacement with probabilities on left</t>
  </si>
  <si>
    <t>Sub-adult male dispersal group size (all male sub brothers within 1 year of each other disperse together as a coalition)</t>
  </si>
  <si>
    <t>Larger groups are more likely to defeat small groups (but age dependent, for example, 1 seven yr old male will defeat 3 three year olds)</t>
  </si>
  <si>
    <t>Movement</t>
  </si>
  <si>
    <t>They then kill all cubs or evict them</t>
  </si>
  <si>
    <t>Larger coalitions defeat smaller ones and hold tenure for longer</t>
  </si>
  <si>
    <t>Mean pride tenure (months)</t>
  </si>
  <si>
    <t>Coalition size</t>
  </si>
  <si>
    <t>All</t>
  </si>
  <si>
    <t>5 to 7</t>
  </si>
  <si>
    <t>% that stay together</t>
  </si>
  <si>
    <t>% that gain tenure</t>
  </si>
  <si>
    <t>% of males dispersing</t>
  </si>
  <si>
    <t>% of females dispersing</t>
  </si>
  <si>
    <t>Single males will sometimes join non-related males to form a coalition - need to get figures for the chances of this</t>
  </si>
  <si>
    <t>If with a pride/coalition then bounded correlated random walk (bounded by territory file I gave you)</t>
  </si>
  <si>
    <t>If dispersing then correlated random walk. Going anywhere until defeat resident males or die</t>
  </si>
  <si>
    <t>Tenure length (years)</t>
  </si>
  <si>
    <t>Litter size</t>
  </si>
  <si>
    <t>Likelihood of litter size (%)</t>
  </si>
  <si>
    <t>Sex ratio at birth</t>
  </si>
  <si>
    <t>1 to 1</t>
  </si>
  <si>
    <t>0 - 6</t>
  </si>
  <si>
    <t>30 - 70</t>
  </si>
  <si>
    <t>70 - 95</t>
  </si>
  <si>
    <t>95 - 99</t>
  </si>
  <si>
    <t>99 - 100</t>
  </si>
  <si>
    <t>age / days</t>
  </si>
  <si>
    <t>x^365 = 0.64</t>
  </si>
  <si>
    <t xml:space="preserve">x(log365) = log(0.64) </t>
  </si>
  <si>
    <t>2(logx) = 2</t>
  </si>
  <si>
    <t>logx = 1</t>
  </si>
  <si>
    <t>x^2 = 9</t>
  </si>
  <si>
    <t>x(log2) = log(9)</t>
  </si>
  <si>
    <t>p(infection|sex = T) = 0,0008</t>
  </si>
  <si>
    <t>log9</t>
  </si>
  <si>
    <t>log2</t>
  </si>
  <si>
    <t>p(reproduction/year)</t>
  </si>
  <si>
    <t>eq 365(1 -p(x))</t>
  </si>
  <si>
    <t>eq 1 - p(x)</t>
  </si>
  <si>
    <t>p(x)</t>
  </si>
  <si>
    <t>0.64 = x^365</t>
  </si>
  <si>
    <t>log(0.64) = 365logx</t>
  </si>
  <si>
    <t>log(0.64) / 365 = logx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</si>
</sst>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6" fontId="0" fillId="0" borderId="9" xfId="0" applyNumberFormat="1" applyBorder="1" applyAlignment="1">
      <alignment horizontal="right"/>
    </xf>
    <xf numFmtId="2" fontId="0" fillId="0" borderId="10" xfId="0" applyNumberFormat="1" applyBorder="1"/>
    <xf numFmtId="0" fontId="0" fillId="0" borderId="11" xfId="0" applyBorder="1"/>
    <xf numFmtId="0" fontId="0" fillId="0" borderId="5" xfId="0" applyBorder="1" applyAlignment="1">
      <alignment wrapText="1"/>
    </xf>
    <xf numFmtId="0" fontId="0" fillId="0" borderId="9" xfId="0" applyBorder="1"/>
    <xf numFmtId="0" fontId="0" fillId="0" borderId="10" xfId="0" applyBorder="1"/>
    <xf numFmtId="164" fontId="0" fillId="0" borderId="8" xfId="0" applyNumberFormat="1" applyBorder="1"/>
    <xf numFmtId="164" fontId="0" fillId="0" borderId="11" xfId="0" applyNumberFormat="1" applyBorder="1"/>
    <xf numFmtId="1" fontId="0" fillId="0" borderId="11" xfId="0" applyNumberFormat="1" applyBorder="1"/>
    <xf numFmtId="0" fontId="0" fillId="0" borderId="12" xfId="0" applyBorder="1" applyAlignment="1">
      <alignment wrapText="1"/>
    </xf>
    <xf numFmtId="0" fontId="0" fillId="0" borderId="13" xfId="0" applyBorder="1" applyAlignment="1"/>
    <xf numFmtId="0" fontId="0" fillId="0" borderId="14" xfId="0" applyBorder="1" applyAlignment="1">
      <alignment wrapText="1"/>
    </xf>
    <xf numFmtId="0" fontId="0" fillId="0" borderId="0" xfId="0" applyBorder="1" applyAlignment="1">
      <alignment horizontal="right"/>
    </xf>
    <xf numFmtId="0" fontId="0" fillId="0" borderId="4" xfId="0" applyBorder="1"/>
    <xf numFmtId="0" fontId="0" fillId="0" borderId="6" xfId="0" applyBorder="1"/>
    <xf numFmtId="1" fontId="0" fillId="0" borderId="9" xfId="0" applyNumberFormat="1" applyBorder="1"/>
    <xf numFmtId="0" fontId="0" fillId="0" borderId="5" xfId="0" applyBorder="1"/>
    <xf numFmtId="0" fontId="0" fillId="0" borderId="0" xfId="0" applyFill="1" applyBorder="1" applyAlignment="1">
      <alignment wrapText="1"/>
    </xf>
    <xf numFmtId="2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Reproduction!$D$6</c:f>
              <c:strCache>
                <c:ptCount val="1"/>
                <c:pt idx="0">
                  <c:v>Likelihood of litter size (%)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Reproduction!$C$7:$C$12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Reproduction!$D$7:$D$12</c:f>
              <c:numCache>
                <c:formatCode>0.0</c:formatCode>
                <c:ptCount val="6"/>
                <c:pt idx="0">
                  <c:v>5.699481865284974</c:v>
                </c:pt>
                <c:pt idx="1">
                  <c:v>24.35233160621762</c:v>
                </c:pt>
                <c:pt idx="2">
                  <c:v>39.89637305699482</c:v>
                </c:pt>
                <c:pt idx="3">
                  <c:v>25.38860103626943</c:v>
                </c:pt>
                <c:pt idx="4">
                  <c:v>3.626943005181347</c:v>
                </c:pt>
                <c:pt idx="5">
                  <c:v>1.036269430051814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465744"/>
        <c:axId val="387463424"/>
      </c:scatterChart>
      <c:valAx>
        <c:axId val="38746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63424"/>
        <c:crosses val="autoZero"/>
        <c:crossBetween val="midCat"/>
      </c:valAx>
      <c:valAx>
        <c:axId val="3874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6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3</xdr:row>
      <xdr:rowOff>139700</xdr:rowOff>
    </xdr:from>
    <xdr:to>
      <xdr:col>16</xdr:col>
      <xdr:colOff>292100</xdr:colOff>
      <xdr:row>18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32"/>
  <sheetViews>
    <sheetView tabSelected="1" workbookViewId="0">
      <selection activeCell="K31" sqref="K31"/>
    </sheetView>
  </sheetViews>
  <sheetFormatPr baseColWidth="10" defaultColWidth="8.83203125" defaultRowHeight="15" x14ac:dyDescent="0.2"/>
  <cols>
    <col min="1" max="1" width="3.33203125" customWidth="1"/>
    <col min="4" max="4" width="8.6640625" customWidth="1"/>
    <col min="5" max="5" width="11.83203125" bestFit="1" customWidth="1"/>
    <col min="12" max="12" width="22.1640625" customWidth="1"/>
    <col min="14" max="14" width="17" customWidth="1"/>
  </cols>
  <sheetData>
    <row r="1" spans="2:15" ht="16" thickBot="1" x14ac:dyDescent="0.25">
      <c r="C1" t="s">
        <v>0</v>
      </c>
      <c r="D1" t="s">
        <v>57</v>
      </c>
      <c r="E1" t="s">
        <v>1</v>
      </c>
      <c r="F1" t="s">
        <v>7</v>
      </c>
      <c r="G1" t="s">
        <v>33</v>
      </c>
    </row>
    <row r="2" spans="2:15" x14ac:dyDescent="0.2">
      <c r="B2" s="27" t="s">
        <v>2</v>
      </c>
      <c r="C2">
        <v>0</v>
      </c>
      <c r="D2">
        <f>C2*365</f>
        <v>0</v>
      </c>
    </row>
    <row r="3" spans="2:15" ht="16" thickBot="1" x14ac:dyDescent="0.25">
      <c r="B3" s="28"/>
      <c r="C3">
        <v>1</v>
      </c>
      <c r="D3">
        <f t="shared" ref="D3:D19" si="0">C3*365</f>
        <v>365</v>
      </c>
      <c r="E3">
        <v>0.6</v>
      </c>
      <c r="F3">
        <v>0</v>
      </c>
      <c r="G3" t="s">
        <v>45</v>
      </c>
    </row>
    <row r="4" spans="2:15" x14ac:dyDescent="0.2">
      <c r="B4" s="27" t="s">
        <v>3</v>
      </c>
      <c r="C4">
        <v>2</v>
      </c>
      <c r="D4">
        <f t="shared" si="0"/>
        <v>730</v>
      </c>
      <c r="E4">
        <v>0.75</v>
      </c>
      <c r="F4">
        <v>0</v>
      </c>
      <c r="G4" t="s">
        <v>46</v>
      </c>
    </row>
    <row r="5" spans="2:15" ht="16" thickBot="1" x14ac:dyDescent="0.25">
      <c r="B5" s="28"/>
      <c r="C5">
        <v>3</v>
      </c>
      <c r="D5">
        <f t="shared" si="0"/>
        <v>1095</v>
      </c>
      <c r="E5">
        <v>0.5</v>
      </c>
      <c r="F5">
        <v>0</v>
      </c>
    </row>
    <row r="6" spans="2:15" x14ac:dyDescent="0.2">
      <c r="B6" s="29" t="s">
        <v>4</v>
      </c>
      <c r="C6">
        <v>4</v>
      </c>
      <c r="D6">
        <f t="shared" si="0"/>
        <v>1460</v>
      </c>
      <c r="E6">
        <v>0.6</v>
      </c>
      <c r="F6">
        <v>0.5</v>
      </c>
    </row>
    <row r="7" spans="2:15" ht="16" thickBot="1" x14ac:dyDescent="0.25">
      <c r="B7" s="30"/>
      <c r="C7">
        <v>5</v>
      </c>
      <c r="D7">
        <f t="shared" si="0"/>
        <v>1825</v>
      </c>
      <c r="E7">
        <v>0.6</v>
      </c>
      <c r="F7">
        <v>0.75</v>
      </c>
    </row>
    <row r="8" spans="2:15" x14ac:dyDescent="0.2">
      <c r="B8" s="29" t="s">
        <v>5</v>
      </c>
      <c r="C8">
        <v>6</v>
      </c>
      <c r="D8">
        <f t="shared" si="0"/>
        <v>2190</v>
      </c>
      <c r="E8">
        <v>0.64</v>
      </c>
      <c r="F8">
        <v>1</v>
      </c>
    </row>
    <row r="9" spans="2:15" ht="16" thickBot="1" x14ac:dyDescent="0.25">
      <c r="B9" s="30"/>
      <c r="C9">
        <v>7</v>
      </c>
      <c r="D9">
        <f t="shared" si="0"/>
        <v>2555</v>
      </c>
      <c r="E9">
        <v>0.64</v>
      </c>
      <c r="F9">
        <v>0.5</v>
      </c>
    </row>
    <row r="10" spans="2:15" x14ac:dyDescent="0.2">
      <c r="B10" s="31" t="s">
        <v>6</v>
      </c>
      <c r="C10">
        <v>8</v>
      </c>
      <c r="D10">
        <f t="shared" si="0"/>
        <v>2920</v>
      </c>
      <c r="E10">
        <v>0.59</v>
      </c>
      <c r="F10">
        <v>1</v>
      </c>
    </row>
    <row r="11" spans="2:15" x14ac:dyDescent="0.2">
      <c r="B11" s="32"/>
      <c r="C11">
        <v>9</v>
      </c>
      <c r="D11">
        <f t="shared" si="0"/>
        <v>3285</v>
      </c>
      <c r="E11">
        <v>0.56000000000000005</v>
      </c>
      <c r="F11">
        <v>0.75</v>
      </c>
      <c r="O11">
        <f>0.64^3</f>
        <v>0.26214400000000004</v>
      </c>
    </row>
    <row r="12" spans="2:15" x14ac:dyDescent="0.2">
      <c r="B12" s="32"/>
      <c r="C12">
        <v>10</v>
      </c>
      <c r="D12">
        <f t="shared" si="0"/>
        <v>3650</v>
      </c>
      <c r="E12">
        <v>0.53</v>
      </c>
      <c r="F12">
        <v>0.5</v>
      </c>
    </row>
    <row r="13" spans="2:15" x14ac:dyDescent="0.2">
      <c r="B13" s="32"/>
      <c r="C13">
        <v>11</v>
      </c>
      <c r="D13">
        <f t="shared" si="0"/>
        <v>4015</v>
      </c>
      <c r="E13">
        <v>0.5</v>
      </c>
      <c r="F13">
        <v>0.5</v>
      </c>
    </row>
    <row r="14" spans="2:15" x14ac:dyDescent="0.2">
      <c r="B14" s="32"/>
      <c r="C14">
        <v>12</v>
      </c>
      <c r="D14">
        <f t="shared" si="0"/>
        <v>4380</v>
      </c>
      <c r="E14">
        <v>0.47</v>
      </c>
      <c r="F14">
        <v>0.5</v>
      </c>
    </row>
    <row r="15" spans="2:15" x14ac:dyDescent="0.2">
      <c r="B15" s="32"/>
      <c r="C15">
        <v>13</v>
      </c>
      <c r="D15">
        <f t="shared" si="0"/>
        <v>4745</v>
      </c>
      <c r="E15">
        <v>0.44</v>
      </c>
      <c r="F15">
        <v>0.25</v>
      </c>
    </row>
    <row r="16" spans="2:15" x14ac:dyDescent="0.2">
      <c r="B16" s="32"/>
      <c r="C16">
        <v>14</v>
      </c>
      <c r="D16">
        <f t="shared" si="0"/>
        <v>5110</v>
      </c>
      <c r="E16">
        <v>0.41</v>
      </c>
      <c r="F16">
        <v>0.1</v>
      </c>
      <c r="J16" t="s">
        <v>58</v>
      </c>
    </row>
    <row r="17" spans="2:16" x14ac:dyDescent="0.2">
      <c r="B17" s="32"/>
      <c r="C17">
        <v>15</v>
      </c>
      <c r="D17">
        <f t="shared" si="0"/>
        <v>5475</v>
      </c>
      <c r="E17">
        <v>0.38</v>
      </c>
      <c r="F17">
        <v>0.1</v>
      </c>
    </row>
    <row r="18" spans="2:16" x14ac:dyDescent="0.2">
      <c r="B18" s="32"/>
      <c r="C18">
        <v>16</v>
      </c>
      <c r="D18">
        <f t="shared" si="0"/>
        <v>5840</v>
      </c>
      <c r="E18">
        <v>0.35</v>
      </c>
      <c r="F18">
        <v>0.1</v>
      </c>
      <c r="J18" t="s">
        <v>59</v>
      </c>
    </row>
    <row r="19" spans="2:16" ht="16" thickBot="1" x14ac:dyDescent="0.25">
      <c r="B19" s="33"/>
      <c r="C19">
        <v>17</v>
      </c>
      <c r="D19">
        <f t="shared" si="0"/>
        <v>6205</v>
      </c>
      <c r="E19">
        <v>0</v>
      </c>
      <c r="F19">
        <v>0</v>
      </c>
    </row>
    <row r="20" spans="2:16" x14ac:dyDescent="0.2">
      <c r="J20" t="s">
        <v>62</v>
      </c>
      <c r="L20" t="s">
        <v>65</v>
      </c>
      <c r="M20" t="s">
        <v>66</v>
      </c>
    </row>
    <row r="21" spans="2:16" x14ac:dyDescent="0.2">
      <c r="J21" t="s">
        <v>63</v>
      </c>
      <c r="L21">
        <f>LOG(9)</f>
        <v>0.95424250943932487</v>
      </c>
      <c r="M21">
        <f>LOG(2)</f>
        <v>0.3010299956639812</v>
      </c>
      <c r="N21">
        <f>L21/M21</f>
        <v>3.1699250014423122</v>
      </c>
    </row>
    <row r="22" spans="2:16" x14ac:dyDescent="0.2">
      <c r="E22">
        <f>0.99878^365</f>
        <v>0.64045792278342906</v>
      </c>
      <c r="G22">
        <f>LOG(365)</f>
        <v>2.5622928644564746</v>
      </c>
      <c r="H22">
        <f>LOG(0.64)</f>
        <v>-0.19382002601611281</v>
      </c>
      <c r="J22" t="s">
        <v>60</v>
      </c>
      <c r="L22">
        <f>LOG(9)/2</f>
        <v>0.47712125471966244</v>
      </c>
      <c r="M22">
        <f>POWER(10, L22)</f>
        <v>3.0000000000000004</v>
      </c>
    </row>
    <row r="23" spans="2:16" x14ac:dyDescent="0.2">
      <c r="J23" t="s">
        <v>61</v>
      </c>
      <c r="L23">
        <f>POWER(10,L22)</f>
        <v>3.0000000000000004</v>
      </c>
    </row>
    <row r="25" spans="2:16" x14ac:dyDescent="0.2">
      <c r="L25" t="s">
        <v>67</v>
      </c>
      <c r="N25" t="s">
        <v>68</v>
      </c>
      <c r="O25" t="s">
        <v>69</v>
      </c>
      <c r="P25" t="s">
        <v>70</v>
      </c>
    </row>
    <row r="26" spans="2:16" x14ac:dyDescent="0.2">
      <c r="L26">
        <v>0.9</v>
      </c>
      <c r="M26">
        <f>1-L26</f>
        <v>9.9999999999999978E-2</v>
      </c>
      <c r="N26">
        <f>LOG(M26)/365</f>
        <v>-2.7397260273972603E-3</v>
      </c>
      <c r="O26">
        <f>POWER(10,N26)</f>
        <v>0.99371140419914439</v>
      </c>
      <c r="P26">
        <f>1-O26</f>
        <v>6.288595800855612E-3</v>
      </c>
    </row>
    <row r="27" spans="2:16" x14ac:dyDescent="0.2">
      <c r="E27">
        <f>POWER(10, LOG(E8)/365)</f>
        <v>0.99877804280768556</v>
      </c>
      <c r="F27">
        <f>POWER(10, LOG(1-F11)/365)</f>
        <v>0.99620913678997869</v>
      </c>
      <c r="G27">
        <f>(1-0.0008)^(365)</f>
        <v>0.74668127196075074</v>
      </c>
    </row>
    <row r="28" spans="2:16" x14ac:dyDescent="0.2">
      <c r="E28">
        <f>LOG(E8,10)</f>
        <v>-0.19382002601611278</v>
      </c>
    </row>
    <row r="29" spans="2:16" x14ac:dyDescent="0.2">
      <c r="L29">
        <f>1-((1-P29)^365)</f>
        <v>0.89999999999999458</v>
      </c>
      <c r="P29">
        <f>P26</f>
        <v>6.288595800855612E-3</v>
      </c>
    </row>
    <row r="30" spans="2:16" x14ac:dyDescent="0.2">
      <c r="E30" t="s">
        <v>71</v>
      </c>
      <c r="K30">
        <f>35*3</f>
        <v>105</v>
      </c>
    </row>
    <row r="31" spans="2:16" x14ac:dyDescent="0.2">
      <c r="E31" t="s">
        <v>72</v>
      </c>
    </row>
    <row r="32" spans="2:16" x14ac:dyDescent="0.2">
      <c r="E32" t="s">
        <v>73</v>
      </c>
    </row>
  </sheetData>
  <mergeCells count="5">
    <mergeCell ref="B2:B3"/>
    <mergeCell ref="B4:B5"/>
    <mergeCell ref="B6:B7"/>
    <mergeCell ref="B8:B9"/>
    <mergeCell ref="B10:B1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11"/>
  <sheetViews>
    <sheetView workbookViewId="0">
      <selection activeCell="F12" sqref="F12"/>
    </sheetView>
  </sheetViews>
  <sheetFormatPr baseColWidth="10" defaultRowHeight="15" x14ac:dyDescent="0.2"/>
  <sheetData>
    <row r="4" spans="4:6" x14ac:dyDescent="0.2">
      <c r="D4">
        <f>1/1250</f>
        <v>8.0000000000000004E-4</v>
      </c>
    </row>
    <row r="7" spans="4:6" x14ac:dyDescent="0.2">
      <c r="D7">
        <f>1-(1-D4)^365</f>
        <v>0.25331872803924926</v>
      </c>
    </row>
    <row r="11" spans="4:6" x14ac:dyDescent="0.2">
      <c r="F11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19"/>
  <sheetViews>
    <sheetView workbookViewId="0">
      <selection activeCell="F7" sqref="F7"/>
    </sheetView>
  </sheetViews>
  <sheetFormatPr baseColWidth="10" defaultColWidth="8.83203125" defaultRowHeight="15" x14ac:dyDescent="0.2"/>
  <cols>
    <col min="1" max="1" width="3.1640625" customWidth="1"/>
  </cols>
  <sheetData>
    <row r="1" spans="2:32" ht="16" thickBot="1" x14ac:dyDescent="0.25">
      <c r="C1" t="s">
        <v>0</v>
      </c>
      <c r="D1" t="s">
        <v>1</v>
      </c>
      <c r="E1" t="s">
        <v>7</v>
      </c>
    </row>
    <row r="2" spans="2:32" x14ac:dyDescent="0.2">
      <c r="B2" s="27" t="s">
        <v>2</v>
      </c>
      <c r="C2">
        <v>0</v>
      </c>
      <c r="E2">
        <v>0</v>
      </c>
      <c r="O2">
        <v>0</v>
      </c>
      <c r="P2">
        <v>0</v>
      </c>
      <c r="Q2">
        <v>0</v>
      </c>
      <c r="R2">
        <v>0.25</v>
      </c>
      <c r="S2">
        <v>0.75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0.75</v>
      </c>
      <c r="AA2">
        <v>0.5</v>
      </c>
      <c r="AB2">
        <v>0.25</v>
      </c>
      <c r="AC2">
        <v>0.1</v>
      </c>
      <c r="AD2">
        <v>0</v>
      </c>
      <c r="AE2">
        <v>0</v>
      </c>
      <c r="AF2">
        <v>0</v>
      </c>
    </row>
    <row r="3" spans="2:32" ht="16" thickBot="1" x14ac:dyDescent="0.25">
      <c r="B3" s="28"/>
      <c r="C3">
        <v>1</v>
      </c>
      <c r="D3">
        <v>0.56999999999999995</v>
      </c>
      <c r="E3">
        <v>0</v>
      </c>
      <c r="L3">
        <v>0</v>
      </c>
    </row>
    <row r="4" spans="2:32" x14ac:dyDescent="0.2">
      <c r="B4" s="27" t="s">
        <v>3</v>
      </c>
      <c r="C4">
        <v>2</v>
      </c>
      <c r="D4">
        <v>0.74</v>
      </c>
      <c r="E4">
        <v>0</v>
      </c>
      <c r="H4">
        <f>365*2</f>
        <v>730</v>
      </c>
      <c r="L4">
        <v>0</v>
      </c>
    </row>
    <row r="5" spans="2:32" ht="16" thickBot="1" x14ac:dyDescent="0.25">
      <c r="B5" s="28"/>
      <c r="C5">
        <v>3</v>
      </c>
      <c r="D5">
        <v>0.8</v>
      </c>
      <c r="E5">
        <v>0.25</v>
      </c>
      <c r="L5">
        <v>0.25</v>
      </c>
    </row>
    <row r="6" spans="2:32" x14ac:dyDescent="0.2">
      <c r="B6" s="29" t="s">
        <v>4</v>
      </c>
      <c r="C6">
        <v>4</v>
      </c>
      <c r="D6">
        <v>0.88</v>
      </c>
      <c r="E6">
        <v>0.75</v>
      </c>
      <c r="L6">
        <v>0.75</v>
      </c>
    </row>
    <row r="7" spans="2:32" ht="16" thickBot="1" x14ac:dyDescent="0.25">
      <c r="B7" s="30"/>
      <c r="C7">
        <v>5</v>
      </c>
      <c r="D7">
        <v>0.88</v>
      </c>
      <c r="E7">
        <v>1</v>
      </c>
      <c r="L7">
        <v>1</v>
      </c>
    </row>
    <row r="8" spans="2:32" x14ac:dyDescent="0.2">
      <c r="B8" s="29" t="s">
        <v>5</v>
      </c>
      <c r="C8">
        <v>6</v>
      </c>
      <c r="D8">
        <v>0.9</v>
      </c>
      <c r="E8">
        <v>1</v>
      </c>
      <c r="L8">
        <v>1</v>
      </c>
    </row>
    <row r="9" spans="2:32" ht="16" thickBot="1" x14ac:dyDescent="0.25">
      <c r="B9" s="30"/>
      <c r="C9">
        <v>7</v>
      </c>
      <c r="D9">
        <v>0.9</v>
      </c>
      <c r="E9">
        <v>1</v>
      </c>
      <c r="L9">
        <v>1</v>
      </c>
    </row>
    <row r="10" spans="2:32" x14ac:dyDescent="0.2">
      <c r="B10" s="31" t="s">
        <v>6</v>
      </c>
      <c r="C10">
        <v>8</v>
      </c>
      <c r="D10">
        <v>0.9</v>
      </c>
      <c r="E10">
        <v>1</v>
      </c>
      <c r="L10">
        <v>1</v>
      </c>
    </row>
    <row r="11" spans="2:32" x14ac:dyDescent="0.2">
      <c r="B11" s="32"/>
      <c r="C11">
        <v>9</v>
      </c>
      <c r="D11">
        <v>0.7</v>
      </c>
      <c r="E11">
        <v>1</v>
      </c>
      <c r="L11">
        <v>1</v>
      </c>
    </row>
    <row r="12" spans="2:32" x14ac:dyDescent="0.2">
      <c r="B12" s="32"/>
      <c r="C12">
        <v>10</v>
      </c>
      <c r="D12">
        <v>0.6</v>
      </c>
      <c r="E12">
        <v>1</v>
      </c>
      <c r="L12">
        <v>1</v>
      </c>
    </row>
    <row r="13" spans="2:32" x14ac:dyDescent="0.2">
      <c r="B13" s="32"/>
      <c r="C13">
        <v>11</v>
      </c>
      <c r="D13">
        <v>0.5</v>
      </c>
      <c r="E13">
        <v>0.75</v>
      </c>
      <c r="L13">
        <v>0.75</v>
      </c>
    </row>
    <row r="14" spans="2:32" x14ac:dyDescent="0.2">
      <c r="B14" s="32"/>
      <c r="C14">
        <v>12</v>
      </c>
      <c r="D14">
        <v>0.4</v>
      </c>
      <c r="E14">
        <v>0.5</v>
      </c>
      <c r="L14">
        <v>0.5</v>
      </c>
    </row>
    <row r="15" spans="2:32" x14ac:dyDescent="0.2">
      <c r="B15" s="32"/>
      <c r="C15">
        <v>13</v>
      </c>
      <c r="D15">
        <v>0.3</v>
      </c>
      <c r="E15">
        <v>0.25</v>
      </c>
      <c r="L15">
        <v>0.25</v>
      </c>
    </row>
    <row r="16" spans="2:32" x14ac:dyDescent="0.2">
      <c r="B16" s="32"/>
      <c r="C16">
        <v>14</v>
      </c>
      <c r="D16">
        <v>0.2</v>
      </c>
      <c r="E16">
        <v>0.1</v>
      </c>
      <c r="L16">
        <v>0.1</v>
      </c>
    </row>
    <row r="17" spans="2:12" x14ac:dyDescent="0.2">
      <c r="B17" s="32"/>
      <c r="C17">
        <v>15</v>
      </c>
      <c r="D17">
        <v>0.1</v>
      </c>
      <c r="E17">
        <v>0</v>
      </c>
      <c r="L17">
        <v>0</v>
      </c>
    </row>
    <row r="18" spans="2:12" x14ac:dyDescent="0.2">
      <c r="B18" s="32"/>
      <c r="C18">
        <v>16</v>
      </c>
      <c r="D18">
        <v>0.1</v>
      </c>
      <c r="E18">
        <v>0</v>
      </c>
      <c r="L18">
        <v>0</v>
      </c>
    </row>
    <row r="19" spans="2:12" ht="16" thickBot="1" x14ac:dyDescent="0.25">
      <c r="B19" s="33"/>
      <c r="C19">
        <v>17</v>
      </c>
      <c r="D19">
        <v>0</v>
      </c>
      <c r="E19">
        <v>0</v>
      </c>
      <c r="L19">
        <v>0</v>
      </c>
    </row>
  </sheetData>
  <mergeCells count="5">
    <mergeCell ref="B2:B3"/>
    <mergeCell ref="B4:B5"/>
    <mergeCell ref="B6:B7"/>
    <mergeCell ref="B8:B9"/>
    <mergeCell ref="B10:B1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8.5" bestFit="1" customWidth="1"/>
    <col min="2" max="2" width="12.5" customWidth="1"/>
    <col min="3" max="3" width="12.6640625" customWidth="1"/>
    <col min="4" max="4" width="14" customWidth="1"/>
    <col min="5" max="5" width="18.1640625" customWidth="1"/>
    <col min="6" max="6" width="24.33203125" customWidth="1"/>
  </cols>
  <sheetData>
    <row r="1" spans="1:8" ht="45" x14ac:dyDescent="0.2">
      <c r="B1" s="1" t="s">
        <v>8</v>
      </c>
      <c r="C1" s="1" t="s">
        <v>9</v>
      </c>
      <c r="D1" s="1" t="s">
        <v>23</v>
      </c>
      <c r="E1" s="1" t="s">
        <v>10</v>
      </c>
      <c r="F1" s="1" t="s">
        <v>11</v>
      </c>
      <c r="G1" s="1" t="s">
        <v>50</v>
      </c>
    </row>
    <row r="2" spans="1:8" x14ac:dyDescent="0.2">
      <c r="A2" t="s">
        <v>12</v>
      </c>
      <c r="B2">
        <v>24</v>
      </c>
      <c r="C2">
        <v>46</v>
      </c>
      <c r="D2">
        <v>35</v>
      </c>
      <c r="E2">
        <v>4</v>
      </c>
      <c r="F2">
        <v>7</v>
      </c>
      <c r="G2" s="26" t="s">
        <v>51</v>
      </c>
    </row>
    <row r="3" spans="1:8" x14ac:dyDescent="0.2">
      <c r="A3" t="s">
        <v>13</v>
      </c>
      <c r="B3" t="s">
        <v>25</v>
      </c>
    </row>
    <row r="5" spans="1:8" ht="16" thickBot="1" x14ac:dyDescent="0.25"/>
    <row r="6" spans="1:8" x14ac:dyDescent="0.2">
      <c r="C6" s="21" t="s">
        <v>48</v>
      </c>
      <c r="D6" s="22" t="s">
        <v>49</v>
      </c>
    </row>
    <row r="7" spans="1:8" x14ac:dyDescent="0.2">
      <c r="C7" s="5">
        <v>1</v>
      </c>
      <c r="D7" s="14">
        <v>5.6994818652849739</v>
      </c>
      <c r="E7" s="34">
        <f>ROUND(D7,0)</f>
        <v>6</v>
      </c>
      <c r="F7" s="34">
        <f>ROUND(E7, 0)</f>
        <v>6</v>
      </c>
      <c r="H7" t="s">
        <v>52</v>
      </c>
    </row>
    <row r="8" spans="1:8" x14ac:dyDescent="0.2">
      <c r="C8" s="5">
        <v>2</v>
      </c>
      <c r="D8" s="14">
        <v>24.352331606217618</v>
      </c>
      <c r="E8" s="34">
        <f>ROUND(E7+D8,0)</f>
        <v>30</v>
      </c>
      <c r="F8" s="34">
        <f t="shared" ref="F8:F12" si="0">ROUND(E8, 0)</f>
        <v>30</v>
      </c>
      <c r="H8" s="35">
        <v>42916</v>
      </c>
    </row>
    <row r="9" spans="1:8" x14ac:dyDescent="0.2">
      <c r="C9" s="5">
        <v>3</v>
      </c>
      <c r="D9" s="14">
        <v>39.896373056994818</v>
      </c>
      <c r="E9" s="34">
        <f t="shared" ref="E9:E12" si="1">ROUND(E8+D9,0)</f>
        <v>70</v>
      </c>
      <c r="F9" s="34">
        <f t="shared" si="0"/>
        <v>70</v>
      </c>
      <c r="H9" t="s">
        <v>53</v>
      </c>
    </row>
    <row r="10" spans="1:8" x14ac:dyDescent="0.2">
      <c r="C10" s="5">
        <v>4</v>
      </c>
      <c r="D10" s="14">
        <v>25.388601036269431</v>
      </c>
      <c r="E10" s="34">
        <f t="shared" si="1"/>
        <v>95</v>
      </c>
      <c r="F10" s="34">
        <f t="shared" si="0"/>
        <v>95</v>
      </c>
      <c r="H10" t="s">
        <v>54</v>
      </c>
    </row>
    <row r="11" spans="1:8" x14ac:dyDescent="0.2">
      <c r="C11" s="5">
        <v>5</v>
      </c>
      <c r="D11" s="14">
        <v>3.6269430051813467</v>
      </c>
      <c r="E11" s="34">
        <f t="shared" si="1"/>
        <v>99</v>
      </c>
      <c r="F11" s="34">
        <f t="shared" si="0"/>
        <v>99</v>
      </c>
      <c r="H11" t="s">
        <v>55</v>
      </c>
    </row>
    <row r="12" spans="1:8" ht="16" thickBot="1" x14ac:dyDescent="0.25">
      <c r="C12" s="12">
        <v>6</v>
      </c>
      <c r="D12" s="15">
        <v>1.0362694300518136</v>
      </c>
      <c r="E12" s="34">
        <f t="shared" si="1"/>
        <v>100</v>
      </c>
      <c r="F12" s="34">
        <f t="shared" si="0"/>
        <v>100</v>
      </c>
      <c r="H12" t="s">
        <v>56</v>
      </c>
    </row>
    <row r="13" spans="1:8" x14ac:dyDescent="0.2">
      <c r="F13" s="34">
        <f>SUM(F7:F12)</f>
        <v>400</v>
      </c>
    </row>
    <row r="14" spans="1:8" x14ac:dyDescent="0.2">
      <c r="D14" s="34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4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4.33203125" customWidth="1"/>
    <col min="3" max="3" width="21.83203125" bestFit="1" customWidth="1"/>
    <col min="4" max="4" width="23.6640625" bestFit="1" customWidth="1"/>
    <col min="8" max="8" width="21.83203125" bestFit="1" customWidth="1"/>
    <col min="9" max="9" width="23.6640625" bestFit="1" customWidth="1"/>
  </cols>
  <sheetData>
    <row r="1" spans="2:9" ht="16" thickBot="1" x14ac:dyDescent="0.25"/>
    <row r="2" spans="2:9" x14ac:dyDescent="0.2">
      <c r="B2" s="21"/>
      <c r="C2" s="24" t="s">
        <v>22</v>
      </c>
      <c r="D2" s="22"/>
      <c r="G2" s="21"/>
      <c r="H2" s="24" t="s">
        <v>16</v>
      </c>
      <c r="I2" s="22" t="s">
        <v>16</v>
      </c>
    </row>
    <row r="3" spans="2:9" x14ac:dyDescent="0.2">
      <c r="B3" s="5"/>
      <c r="C3" s="6" t="s">
        <v>17</v>
      </c>
      <c r="D3" s="7" t="s">
        <v>18</v>
      </c>
      <c r="G3" s="5"/>
      <c r="H3" s="6" t="s">
        <v>17</v>
      </c>
      <c r="I3" s="7" t="s">
        <v>18</v>
      </c>
    </row>
    <row r="4" spans="2:9" x14ac:dyDescent="0.2">
      <c r="B4" s="5" t="s">
        <v>19</v>
      </c>
      <c r="C4" s="6">
        <v>31</v>
      </c>
      <c r="D4" s="7">
        <v>31</v>
      </c>
      <c r="G4" s="5" t="s">
        <v>19</v>
      </c>
      <c r="H4" s="6">
        <v>20</v>
      </c>
      <c r="I4" s="7">
        <v>18</v>
      </c>
    </row>
    <row r="5" spans="2:9" x14ac:dyDescent="0.2">
      <c r="B5" s="5" t="s">
        <v>20</v>
      </c>
      <c r="C5" s="6">
        <v>45</v>
      </c>
      <c r="D5" s="7">
        <v>45</v>
      </c>
      <c r="G5" s="5" t="s">
        <v>20</v>
      </c>
      <c r="H5" s="6">
        <v>42</v>
      </c>
      <c r="I5" s="7">
        <v>33</v>
      </c>
    </row>
    <row r="6" spans="2:9" ht="16" thickBot="1" x14ac:dyDescent="0.25">
      <c r="B6" s="12" t="s">
        <v>21</v>
      </c>
      <c r="C6" s="13">
        <v>39.5</v>
      </c>
      <c r="D6" s="10">
        <v>35.700000000000003</v>
      </c>
      <c r="G6" s="12" t="s">
        <v>21</v>
      </c>
      <c r="H6" s="13">
        <v>30.6</v>
      </c>
      <c r="I6" s="10">
        <v>26.6</v>
      </c>
    </row>
    <row r="9" spans="2:9" x14ac:dyDescent="0.2">
      <c r="C9" t="s">
        <v>31</v>
      </c>
    </row>
    <row r="10" spans="2:9" x14ac:dyDescent="0.2">
      <c r="C10" t="s">
        <v>32</v>
      </c>
    </row>
    <row r="12" spans="2:9" ht="16" thickBot="1" x14ac:dyDescent="0.25"/>
    <row r="13" spans="2:9" x14ac:dyDescent="0.2">
      <c r="C13" s="21" t="s">
        <v>42</v>
      </c>
      <c r="D13" s="22" t="s">
        <v>43</v>
      </c>
    </row>
    <row r="14" spans="2:9" ht="16" thickBot="1" x14ac:dyDescent="0.25">
      <c r="C14" s="23">
        <v>100</v>
      </c>
      <c r="D14" s="16">
        <v>33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2"/>
  <sheetViews>
    <sheetView topLeftCell="A15" workbookViewId="0">
      <selection activeCell="H6" sqref="H6"/>
    </sheetView>
  </sheetViews>
  <sheetFormatPr baseColWidth="10" defaultColWidth="8.83203125" defaultRowHeight="15" x14ac:dyDescent="0.2"/>
  <sheetData>
    <row r="1" spans="1:8" x14ac:dyDescent="0.2">
      <c r="A1" t="s">
        <v>13</v>
      </c>
      <c r="D1" t="s">
        <v>12</v>
      </c>
    </row>
    <row r="2" spans="1:8" x14ac:dyDescent="0.2">
      <c r="A2" t="s">
        <v>14</v>
      </c>
      <c r="B2" t="s">
        <v>15</v>
      </c>
      <c r="D2" t="s">
        <v>14</v>
      </c>
      <c r="E2" t="s">
        <v>15</v>
      </c>
    </row>
    <row r="3" spans="1:8" x14ac:dyDescent="0.2">
      <c r="A3" s="2">
        <v>20</v>
      </c>
      <c r="B3" s="2">
        <v>1.1210720000000001E-3</v>
      </c>
      <c r="D3" s="2">
        <v>18</v>
      </c>
      <c r="E3" s="2">
        <v>0.87649670000000002</v>
      </c>
    </row>
    <row r="4" spans="1:8" x14ac:dyDescent="0.2">
      <c r="A4" s="2">
        <v>20.22222</v>
      </c>
      <c r="B4" s="2">
        <v>1.281307E-3</v>
      </c>
      <c r="D4" s="2">
        <v>18.272729999999999</v>
      </c>
      <c r="E4" s="2">
        <v>0.87387199999999998</v>
      </c>
      <c r="H4" t="s">
        <v>28</v>
      </c>
    </row>
    <row r="5" spans="1:8" x14ac:dyDescent="0.2">
      <c r="A5" s="2">
        <v>20.44444</v>
      </c>
      <c r="B5" s="2">
        <v>1.464412E-3</v>
      </c>
      <c r="D5" s="2">
        <v>18.545449999999999</v>
      </c>
      <c r="E5" s="2">
        <v>0.87119979999999997</v>
      </c>
      <c r="H5" t="s">
        <v>34</v>
      </c>
    </row>
    <row r="6" spans="1:8" x14ac:dyDescent="0.2">
      <c r="A6" s="2">
        <v>20.66667</v>
      </c>
      <c r="B6" s="2">
        <v>1.673639E-3</v>
      </c>
      <c r="D6" s="2">
        <v>18.818180000000002</v>
      </c>
      <c r="E6" s="2">
        <v>0.86847949999999996</v>
      </c>
      <c r="H6" t="s">
        <v>29</v>
      </c>
    </row>
    <row r="7" spans="1:8" x14ac:dyDescent="0.2">
      <c r="A7" s="2">
        <v>20.88889</v>
      </c>
      <c r="B7" s="2">
        <v>1.912703E-3</v>
      </c>
      <c r="D7" s="2">
        <v>19.090910000000001</v>
      </c>
      <c r="E7" s="2">
        <v>0.8657106</v>
      </c>
      <c r="H7" t="s">
        <v>30</v>
      </c>
    </row>
    <row r="8" spans="1:8" x14ac:dyDescent="0.2">
      <c r="A8" s="2">
        <v>21.11111</v>
      </c>
      <c r="B8" s="2">
        <v>2.1858390000000002E-3</v>
      </c>
      <c r="D8" s="2">
        <v>19.36364</v>
      </c>
      <c r="E8" s="2">
        <v>0.86289249999999995</v>
      </c>
    </row>
    <row r="9" spans="1:8" x14ac:dyDescent="0.2">
      <c r="A9" s="2">
        <v>21.33333</v>
      </c>
      <c r="B9" s="2">
        <v>2.4978829999999998E-3</v>
      </c>
      <c r="D9" s="2">
        <v>19.63636</v>
      </c>
      <c r="E9" s="2">
        <v>0.86002500000000004</v>
      </c>
    </row>
    <row r="10" spans="1:8" x14ac:dyDescent="0.2">
      <c r="A10" s="2">
        <v>21.55556</v>
      </c>
      <c r="B10" s="2">
        <v>2.8543449999999999E-3</v>
      </c>
      <c r="D10" s="2">
        <v>19.909089999999999</v>
      </c>
      <c r="E10" s="2">
        <v>0.85710730000000002</v>
      </c>
    </row>
    <row r="11" spans="1:8" x14ac:dyDescent="0.2">
      <c r="A11" s="2">
        <v>21.77778</v>
      </c>
      <c r="B11" s="2">
        <v>3.26151E-3</v>
      </c>
      <c r="D11" s="2">
        <v>20.181819999999998</v>
      </c>
      <c r="E11" s="2">
        <v>0.85413919999999999</v>
      </c>
    </row>
    <row r="12" spans="1:8" x14ac:dyDescent="0.2">
      <c r="A12" s="2">
        <v>22</v>
      </c>
      <c r="B12" s="2">
        <v>3.7265380000000002E-3</v>
      </c>
      <c r="D12" s="2">
        <v>20.454550000000001</v>
      </c>
      <c r="E12" s="2">
        <v>0.85112010000000005</v>
      </c>
    </row>
    <row r="13" spans="1:8" x14ac:dyDescent="0.2">
      <c r="A13" s="2">
        <v>22.22222</v>
      </c>
      <c r="B13" s="2">
        <v>4.2575879999999997E-3</v>
      </c>
      <c r="D13" s="2">
        <v>20.727270000000001</v>
      </c>
      <c r="E13" s="2">
        <v>0.84804970000000002</v>
      </c>
    </row>
    <row r="14" spans="1:8" x14ac:dyDescent="0.2">
      <c r="A14" s="2">
        <v>22.44444</v>
      </c>
      <c r="B14" s="2">
        <v>4.8639460000000001E-3</v>
      </c>
      <c r="D14" s="2">
        <v>21</v>
      </c>
      <c r="E14" s="2">
        <v>0.84492750000000005</v>
      </c>
    </row>
    <row r="15" spans="1:8" x14ac:dyDescent="0.2">
      <c r="A15" s="2">
        <v>22.66667</v>
      </c>
      <c r="B15" s="2">
        <v>5.5561780000000002E-3</v>
      </c>
      <c r="D15" s="2">
        <v>21.272729999999999</v>
      </c>
      <c r="E15" s="2">
        <v>0.84175299999999997</v>
      </c>
    </row>
    <row r="16" spans="1:8" x14ac:dyDescent="0.2">
      <c r="A16" s="2">
        <v>22.88889</v>
      </c>
      <c r="B16" s="2">
        <v>6.3462989999999997E-3</v>
      </c>
      <c r="D16" s="2">
        <v>21.545449999999999</v>
      </c>
      <c r="E16" s="2">
        <v>0.83852610000000005</v>
      </c>
    </row>
    <row r="17" spans="1:5" x14ac:dyDescent="0.2">
      <c r="A17" s="2">
        <v>23.11111</v>
      </c>
      <c r="B17" s="2">
        <v>7.2479620000000002E-3</v>
      </c>
      <c r="D17" s="2">
        <v>21.818180000000002</v>
      </c>
      <c r="E17" s="2">
        <v>0.83524620000000005</v>
      </c>
    </row>
    <row r="18" spans="1:5" x14ac:dyDescent="0.2">
      <c r="A18" s="2">
        <v>23.33333</v>
      </c>
      <c r="B18" s="2">
        <v>8.2766630000000001E-3</v>
      </c>
      <c r="D18" s="2">
        <v>22.090910000000001</v>
      </c>
      <c r="E18" s="2">
        <v>0.83191300000000001</v>
      </c>
    </row>
    <row r="19" spans="1:5" x14ac:dyDescent="0.2">
      <c r="A19" s="2">
        <v>23.55556</v>
      </c>
      <c r="B19" s="2">
        <v>9.449977E-3</v>
      </c>
      <c r="D19" s="2">
        <v>22.36364</v>
      </c>
      <c r="E19" s="2">
        <v>0.82852619999999999</v>
      </c>
    </row>
    <row r="20" spans="1:5" x14ac:dyDescent="0.2">
      <c r="A20" s="2">
        <v>23.77778</v>
      </c>
      <c r="B20" s="2">
        <v>1.0787813E-2</v>
      </c>
      <c r="D20" s="2">
        <v>22.63636</v>
      </c>
      <c r="E20" s="2">
        <v>0.82508559999999997</v>
      </c>
    </row>
    <row r="21" spans="1:5" x14ac:dyDescent="0.2">
      <c r="A21" s="2">
        <v>24</v>
      </c>
      <c r="B21" s="2">
        <v>1.2312693E-2</v>
      </c>
      <c r="D21" s="2">
        <v>22.909089999999999</v>
      </c>
      <c r="E21" s="2">
        <v>0.82159079999999995</v>
      </c>
    </row>
    <row r="22" spans="1:5" x14ac:dyDescent="0.2">
      <c r="A22" s="2">
        <v>24.22222</v>
      </c>
      <c r="B22" s="2">
        <v>1.4050056E-2</v>
      </c>
      <c r="D22" s="2">
        <v>23.181819999999998</v>
      </c>
      <c r="E22" s="2">
        <v>0.81804149999999998</v>
      </c>
    </row>
    <row r="23" spans="1:5" x14ac:dyDescent="0.2">
      <c r="A23" s="2">
        <v>24.44444</v>
      </c>
      <c r="B23" s="2">
        <v>1.6028588999999999E-2</v>
      </c>
      <c r="D23" s="2">
        <v>23.454550000000001</v>
      </c>
      <c r="E23" s="2">
        <v>0.81443759999999998</v>
      </c>
    </row>
    <row r="24" spans="1:5" x14ac:dyDescent="0.2">
      <c r="A24" s="2">
        <v>24.66667</v>
      </c>
      <c r="B24" s="2">
        <v>1.8280573000000001E-2</v>
      </c>
      <c r="D24" s="2">
        <v>23.727270000000001</v>
      </c>
      <c r="E24" s="2">
        <v>0.81077880000000002</v>
      </c>
    </row>
    <row r="25" spans="1:5" x14ac:dyDescent="0.2">
      <c r="A25" s="2">
        <v>24.88889</v>
      </c>
      <c r="B25" s="2">
        <v>2.0842254000000001E-2</v>
      </c>
      <c r="D25" s="2">
        <v>24</v>
      </c>
      <c r="E25" s="2">
        <v>0.80706500000000003</v>
      </c>
    </row>
    <row r="26" spans="1:5" x14ac:dyDescent="0.2">
      <c r="A26" s="2">
        <v>25.11111</v>
      </c>
      <c r="B26" s="2">
        <v>2.3754221999999998E-2</v>
      </c>
      <c r="D26" s="2">
        <v>24.272729999999999</v>
      </c>
      <c r="E26" s="2">
        <v>0.80329589999999995</v>
      </c>
    </row>
    <row r="27" spans="1:5" x14ac:dyDescent="0.2">
      <c r="A27" s="2">
        <v>25.33333</v>
      </c>
      <c r="B27" s="2">
        <v>2.7061789999999999E-2</v>
      </c>
      <c r="D27" s="2">
        <v>24.545449999999999</v>
      </c>
      <c r="E27" s="2">
        <v>0.79947159999999995</v>
      </c>
    </row>
    <row r="28" spans="1:5" x14ac:dyDescent="0.2">
      <c r="A28" s="2">
        <v>25.55556</v>
      </c>
      <c r="B28" s="2">
        <v>3.0815370000000002E-2</v>
      </c>
      <c r="D28" s="2">
        <v>24.818180000000002</v>
      </c>
      <c r="E28" s="2">
        <v>0.79559179999999996</v>
      </c>
    </row>
    <row r="29" spans="1:5" x14ac:dyDescent="0.2">
      <c r="A29" s="2">
        <v>25.77778</v>
      </c>
      <c r="B29" s="2">
        <v>3.5070821000000002E-2</v>
      </c>
      <c r="D29" s="2">
        <v>25.090910000000001</v>
      </c>
      <c r="E29" s="2">
        <v>0.79165640000000004</v>
      </c>
    </row>
    <row r="30" spans="1:5" x14ac:dyDescent="0.2">
      <c r="A30" s="2">
        <v>26</v>
      </c>
      <c r="B30" s="2">
        <v>3.9889740999999999E-2</v>
      </c>
      <c r="D30" s="2">
        <v>25.36364</v>
      </c>
      <c r="E30" s="2">
        <v>0.78766559999999997</v>
      </c>
    </row>
    <row r="31" spans="1:5" x14ac:dyDescent="0.2">
      <c r="A31" s="2">
        <v>26.22222</v>
      </c>
      <c r="B31" s="2">
        <v>4.5339694E-2</v>
      </c>
      <c r="D31" s="2">
        <v>25.63636</v>
      </c>
      <c r="E31" s="2">
        <v>0.78361919999999996</v>
      </c>
    </row>
    <row r="32" spans="1:5" x14ac:dyDescent="0.2">
      <c r="A32" s="2">
        <v>26.44444</v>
      </c>
      <c r="B32" s="2">
        <v>5.1494313999999999E-2</v>
      </c>
      <c r="D32" s="2">
        <v>25.909089999999999</v>
      </c>
      <c r="E32" s="2">
        <v>0.77951720000000002</v>
      </c>
    </row>
    <row r="33" spans="1:5" x14ac:dyDescent="0.2">
      <c r="A33" s="2">
        <v>26.66667</v>
      </c>
      <c r="B33" s="2">
        <v>5.8433252999999998E-2</v>
      </c>
      <c r="D33" s="2">
        <v>26.181819999999998</v>
      </c>
      <c r="E33" s="2">
        <v>0.77535980000000004</v>
      </c>
    </row>
    <row r="34" spans="1:5" x14ac:dyDescent="0.2">
      <c r="A34" s="2">
        <v>26.88889</v>
      </c>
      <c r="B34" s="2">
        <v>6.6241923999999994E-2</v>
      </c>
      <c r="D34" s="2">
        <v>26.454550000000001</v>
      </c>
      <c r="E34" s="2">
        <v>0.77114709999999997</v>
      </c>
    </row>
    <row r="35" spans="1:5" x14ac:dyDescent="0.2">
      <c r="A35" s="2">
        <v>27.11111</v>
      </c>
      <c r="B35" s="2">
        <v>7.5010966999999998E-2</v>
      </c>
      <c r="D35" s="2">
        <v>26.727270000000001</v>
      </c>
      <c r="E35" s="2">
        <v>0.76687899999999998</v>
      </c>
    </row>
    <row r="36" spans="1:5" x14ac:dyDescent="0.2">
      <c r="A36" s="2">
        <v>27.33333</v>
      </c>
      <c r="B36" s="2">
        <v>8.4835381000000001E-2</v>
      </c>
      <c r="D36" s="2">
        <v>27</v>
      </c>
      <c r="E36" s="2">
        <v>0.76255589999999995</v>
      </c>
    </row>
    <row r="37" spans="1:5" x14ac:dyDescent="0.2">
      <c r="A37" s="2">
        <v>27.55556</v>
      </c>
      <c r="B37" s="2">
        <v>9.5813245000000005E-2</v>
      </c>
      <c r="D37" s="2">
        <v>27.272729999999999</v>
      </c>
      <c r="E37" s="2">
        <v>0.75817789999999996</v>
      </c>
    </row>
    <row r="38" spans="1:5" x14ac:dyDescent="0.2">
      <c r="A38" s="2">
        <v>27.77778</v>
      </c>
      <c r="B38" s="2">
        <v>0.108043956</v>
      </c>
      <c r="D38" s="2">
        <v>27.545449999999999</v>
      </c>
      <c r="E38" s="2">
        <v>0.7537452</v>
      </c>
    </row>
    <row r="39" spans="1:5" x14ac:dyDescent="0.2">
      <c r="A39" s="2">
        <v>28</v>
      </c>
      <c r="B39" s="2">
        <v>0.121625923</v>
      </c>
      <c r="D39" s="2">
        <v>27.818180000000002</v>
      </c>
      <c r="E39" s="2">
        <v>0.74925819999999999</v>
      </c>
    </row>
    <row r="40" spans="1:5" x14ac:dyDescent="0.2">
      <c r="A40" s="2">
        <v>28.22222</v>
      </c>
      <c r="B40" s="2">
        <v>0.13665367</v>
      </c>
      <c r="D40" s="2">
        <v>28.090910000000001</v>
      </c>
      <c r="E40" s="2">
        <v>0.74471710000000002</v>
      </c>
    </row>
    <row r="41" spans="1:5" x14ac:dyDescent="0.2">
      <c r="A41" s="2">
        <v>28.44444</v>
      </c>
      <c r="B41" s="2">
        <v>0.15321432500000001</v>
      </c>
      <c r="D41" s="2">
        <v>28.36364</v>
      </c>
      <c r="E41" s="2">
        <v>0.74012230000000001</v>
      </c>
    </row>
    <row r="42" spans="1:5" x14ac:dyDescent="0.2">
      <c r="A42" s="2">
        <v>28.66667</v>
      </c>
      <c r="B42" s="2">
        <v>0.17138351700000001</v>
      </c>
      <c r="D42" s="2">
        <v>28.63636</v>
      </c>
      <c r="E42" s="2">
        <v>0.73547410000000002</v>
      </c>
    </row>
    <row r="43" spans="1:5" x14ac:dyDescent="0.2">
      <c r="A43" s="2">
        <v>28.88889</v>
      </c>
      <c r="B43" s="2">
        <v>0.19122077900000001</v>
      </c>
      <c r="D43" s="2">
        <v>28.909089999999999</v>
      </c>
      <c r="E43" s="2">
        <v>0.73077309999999995</v>
      </c>
    </row>
    <row r="44" spans="1:5" x14ac:dyDescent="0.2">
      <c r="A44" s="2">
        <v>29.11111</v>
      </c>
      <c r="B44" s="2">
        <v>0.21276458300000001</v>
      </c>
      <c r="D44" s="2">
        <v>29.181819999999998</v>
      </c>
      <c r="E44" s="2">
        <v>0.72601959999999999</v>
      </c>
    </row>
    <row r="45" spans="1:5" x14ac:dyDescent="0.2">
      <c r="A45" s="2">
        <v>29.33333</v>
      </c>
      <c r="B45" s="2">
        <v>0.23602727100000001</v>
      </c>
      <c r="D45" s="2">
        <v>29.454550000000001</v>
      </c>
      <c r="E45" s="2">
        <v>0.72121420000000003</v>
      </c>
    </row>
    <row r="46" spans="1:5" x14ac:dyDescent="0.2">
      <c r="A46" s="2">
        <v>29.55556</v>
      </c>
      <c r="B46" s="2">
        <v>0.26099017299999999</v>
      </c>
      <c r="D46" s="2">
        <v>29.727270000000001</v>
      </c>
      <c r="E46" s="2">
        <v>0.71635749999999998</v>
      </c>
    </row>
    <row r="47" spans="1:5" x14ac:dyDescent="0.2">
      <c r="A47" s="2">
        <v>29.77778</v>
      </c>
      <c r="B47" s="2">
        <v>0.28759933300000001</v>
      </c>
      <c r="D47" s="2">
        <v>30</v>
      </c>
      <c r="E47" s="2">
        <v>0.71145000000000003</v>
      </c>
    </row>
    <row r="48" spans="1:5" x14ac:dyDescent="0.2">
      <c r="A48" s="2">
        <v>30</v>
      </c>
      <c r="B48" s="2">
        <v>0.31576224800000002</v>
      </c>
      <c r="D48" s="2">
        <v>30.272729999999999</v>
      </c>
      <c r="E48" s="2">
        <v>0.70649240000000002</v>
      </c>
    </row>
    <row r="49" spans="1:5" x14ac:dyDescent="0.2">
      <c r="A49" s="2">
        <v>30.22222</v>
      </c>
      <c r="B49" s="2">
        <v>0.34534609500000002</v>
      </c>
      <c r="D49" s="2">
        <v>30.545449999999999</v>
      </c>
      <c r="E49" s="2">
        <v>0.70148529999999998</v>
      </c>
    </row>
    <row r="50" spans="1:5" x14ac:dyDescent="0.2">
      <c r="A50" s="2">
        <v>30.44444</v>
      </c>
      <c r="B50" s="2">
        <v>0.37617783599999999</v>
      </c>
      <c r="D50" s="2">
        <v>30.818180000000002</v>
      </c>
      <c r="E50" s="2">
        <v>0.69642959999999998</v>
      </c>
    </row>
    <row r="51" spans="1:5" x14ac:dyDescent="0.2">
      <c r="A51" s="2">
        <v>30.66667</v>
      </c>
      <c r="B51" s="2">
        <v>0.40804647399999999</v>
      </c>
      <c r="D51" s="2">
        <v>31.090910000000001</v>
      </c>
      <c r="E51" s="2">
        <v>0.69132579999999999</v>
      </c>
    </row>
    <row r="52" spans="1:5" x14ac:dyDescent="0.2">
      <c r="A52" s="2">
        <v>30.88889</v>
      </c>
      <c r="B52" s="2">
        <v>0.44070760599999997</v>
      </c>
      <c r="D52" s="2">
        <v>31.36364</v>
      </c>
      <c r="E52" s="2">
        <v>0.68617499999999998</v>
      </c>
    </row>
    <row r="53" spans="1:5" x14ac:dyDescent="0.2">
      <c r="A53" s="2">
        <v>31.11111</v>
      </c>
      <c r="B53" s="2">
        <v>0.47389014899999998</v>
      </c>
      <c r="D53" s="2">
        <v>31.63636</v>
      </c>
      <c r="E53" s="2">
        <v>0.68097779999999997</v>
      </c>
    </row>
    <row r="54" spans="1:5" x14ac:dyDescent="0.2">
      <c r="A54" s="2">
        <v>31.33333</v>
      </c>
      <c r="B54" s="2">
        <v>0.50730492699999996</v>
      </c>
      <c r="D54" s="2">
        <v>31.909089999999999</v>
      </c>
      <c r="E54" s="2">
        <v>0.67573530000000004</v>
      </c>
    </row>
    <row r="55" spans="1:5" x14ac:dyDescent="0.2">
      <c r="A55" s="2">
        <v>31.55556</v>
      </c>
      <c r="B55" s="2">
        <v>0.54065456899999997</v>
      </c>
      <c r="D55" s="2">
        <v>32.181820000000002</v>
      </c>
      <c r="E55" s="2">
        <v>0.6704483</v>
      </c>
    </row>
    <row r="56" spans="1:5" x14ac:dyDescent="0.2">
      <c r="A56" s="2">
        <v>31.77778</v>
      </c>
      <c r="B56" s="2">
        <v>0.57364400900000001</v>
      </c>
      <c r="D56" s="2">
        <v>32.454549999999998</v>
      </c>
      <c r="E56" s="2">
        <v>0.66511779999999998</v>
      </c>
    </row>
    <row r="57" spans="1:5" x14ac:dyDescent="0.2">
      <c r="A57" s="2">
        <v>32</v>
      </c>
      <c r="B57" s="2">
        <v>0.60599082100000001</v>
      </c>
      <c r="D57" s="2">
        <v>32.727269999999997</v>
      </c>
      <c r="E57" s="2">
        <v>0.65974489999999997</v>
      </c>
    </row>
    <row r="58" spans="1:5" x14ac:dyDescent="0.2">
      <c r="A58" s="2">
        <v>32.22222</v>
      </c>
      <c r="B58" s="2">
        <v>0.63743462399999995</v>
      </c>
      <c r="D58" s="2">
        <v>33</v>
      </c>
      <c r="E58" s="2">
        <v>0.65433050000000004</v>
      </c>
    </row>
    <row r="59" spans="1:5" x14ac:dyDescent="0.2">
      <c r="A59" s="2">
        <v>32.44444</v>
      </c>
      <c r="B59" s="2">
        <v>0.66774490600000003</v>
      </c>
      <c r="D59" s="2">
        <v>33.272730000000003</v>
      </c>
      <c r="E59" s="2">
        <v>0.64887589999999995</v>
      </c>
    </row>
    <row r="60" spans="1:5" x14ac:dyDescent="0.2">
      <c r="A60" s="2">
        <v>32.666670000000003</v>
      </c>
      <c r="B60" s="2">
        <v>0.69672683300000005</v>
      </c>
      <c r="D60" s="2">
        <v>33.545450000000002</v>
      </c>
      <c r="E60" s="2">
        <v>0.64338209999999996</v>
      </c>
    </row>
    <row r="61" spans="1:5" x14ac:dyDescent="0.2">
      <c r="A61" s="2">
        <v>32.888890000000004</v>
      </c>
      <c r="B61" s="2">
        <v>0.72422479200000001</v>
      </c>
      <c r="D61" s="2">
        <v>33.818179999999998</v>
      </c>
      <c r="E61" s="2">
        <v>0.63785029999999998</v>
      </c>
    </row>
    <row r="62" spans="1:5" x14ac:dyDescent="0.2">
      <c r="A62" s="2">
        <v>33.111109999999996</v>
      </c>
      <c r="B62" s="2">
        <v>0.75012368299999999</v>
      </c>
      <c r="D62" s="2">
        <v>34.090910000000001</v>
      </c>
      <c r="E62" s="2">
        <v>0.63228169999999995</v>
      </c>
    </row>
    <row r="63" spans="1:5" x14ac:dyDescent="0.2">
      <c r="A63" s="2">
        <v>33.333329999999997</v>
      </c>
      <c r="B63" s="2">
        <v>0.77434816200000001</v>
      </c>
      <c r="D63" s="2">
        <v>34.363639999999997</v>
      </c>
      <c r="E63" s="2">
        <v>0.6266777</v>
      </c>
    </row>
    <row r="64" spans="1:5" x14ac:dyDescent="0.2">
      <c r="A64" s="2">
        <v>33.55556</v>
      </c>
      <c r="B64" s="2">
        <v>0.79686016100000001</v>
      </c>
      <c r="D64" s="2">
        <v>34.636360000000003</v>
      </c>
      <c r="E64" s="2">
        <v>0.62103940000000002</v>
      </c>
    </row>
    <row r="65" spans="1:5" x14ac:dyDescent="0.2">
      <c r="A65" s="2">
        <v>33.77778</v>
      </c>
      <c r="B65" s="2">
        <v>0.81765513300000003</v>
      </c>
      <c r="D65" s="2">
        <v>34.909089999999999</v>
      </c>
      <c r="E65" s="2">
        <v>0.61536820000000003</v>
      </c>
    </row>
    <row r="66" spans="1:5" x14ac:dyDescent="0.2">
      <c r="A66" s="2">
        <v>34</v>
      </c>
      <c r="B66" s="2">
        <v>0.83675745700000004</v>
      </c>
      <c r="D66" s="2">
        <v>35.181820000000002</v>
      </c>
      <c r="E66" s="2">
        <v>0.60966549999999997</v>
      </c>
    </row>
    <row r="67" spans="1:5" x14ac:dyDescent="0.2">
      <c r="A67" s="2">
        <v>34.22222</v>
      </c>
      <c r="B67" s="2">
        <v>0.85421543099999997</v>
      </c>
      <c r="D67" s="2">
        <v>35.454549999999998</v>
      </c>
      <c r="E67" s="2">
        <v>0.60393269999999999</v>
      </c>
    </row>
    <row r="68" spans="1:5" x14ac:dyDescent="0.2">
      <c r="A68" s="2">
        <v>34.44444</v>
      </c>
      <c r="B68" s="2">
        <v>0.87009621400000003</v>
      </c>
      <c r="D68" s="2">
        <v>35.727269999999997</v>
      </c>
      <c r="E68" s="2">
        <v>0.59817109999999996</v>
      </c>
    </row>
    <row r="69" spans="1:5" x14ac:dyDescent="0.2">
      <c r="A69" s="2">
        <v>34.666670000000003</v>
      </c>
      <c r="B69" s="2">
        <v>0.88448099899999999</v>
      </c>
      <c r="D69" s="2">
        <v>36</v>
      </c>
      <c r="E69" s="2">
        <v>0.59238230000000003</v>
      </c>
    </row>
    <row r="70" spans="1:5" x14ac:dyDescent="0.2">
      <c r="A70" s="2">
        <v>34.888890000000004</v>
      </c>
      <c r="B70" s="2">
        <v>0.89746061700000002</v>
      </c>
      <c r="D70" s="2">
        <v>36.272730000000003</v>
      </c>
      <c r="E70" s="2">
        <v>0.58656779999999997</v>
      </c>
    </row>
    <row r="71" spans="1:5" x14ac:dyDescent="0.2">
      <c r="A71" s="2">
        <v>35.111109999999996</v>
      </c>
      <c r="B71" s="2">
        <v>0.909131684</v>
      </c>
      <c r="D71" s="2">
        <v>36.545450000000002</v>
      </c>
      <c r="E71" s="2">
        <v>0.58072900000000005</v>
      </c>
    </row>
    <row r="72" spans="1:5" x14ac:dyDescent="0.2">
      <c r="A72" s="2">
        <v>35.333329999999997</v>
      </c>
      <c r="B72" s="2">
        <v>0.91959336300000005</v>
      </c>
      <c r="D72" s="2">
        <v>36.818179999999998</v>
      </c>
      <c r="E72" s="2">
        <v>0.57486760000000003</v>
      </c>
    </row>
    <row r="73" spans="1:5" x14ac:dyDescent="0.2">
      <c r="A73" s="2">
        <v>35.55556</v>
      </c>
      <c r="B73" s="2">
        <v>0.92894472400000005</v>
      </c>
      <c r="D73" s="2">
        <v>37.090910000000001</v>
      </c>
      <c r="E73" s="2">
        <v>0.56898499999999996</v>
      </c>
    </row>
    <row r="74" spans="1:5" x14ac:dyDescent="0.2">
      <c r="A74" s="2">
        <v>35.77778</v>
      </c>
      <c r="B74" s="2">
        <v>0.93728268800000003</v>
      </c>
      <c r="D74" s="2">
        <v>37.363639999999997</v>
      </c>
      <c r="E74" s="2">
        <v>0.56308279999999999</v>
      </c>
    </row>
    <row r="75" spans="1:5" x14ac:dyDescent="0.2">
      <c r="A75" s="2">
        <v>36</v>
      </c>
      <c r="B75" s="2">
        <v>0.94470047999999995</v>
      </c>
      <c r="D75" s="2">
        <v>37.636360000000003</v>
      </c>
      <c r="E75" s="2">
        <v>0.55716279999999996</v>
      </c>
    </row>
    <row r="76" spans="1:5" x14ac:dyDescent="0.2">
      <c r="A76" s="2">
        <v>36.22222</v>
      </c>
      <c r="B76" s="2">
        <v>0.95128654199999996</v>
      </c>
      <c r="D76" s="2">
        <v>37.909089999999999</v>
      </c>
      <c r="E76" s="2">
        <v>0.55122640000000001</v>
      </c>
    </row>
    <row r="77" spans="1:5" x14ac:dyDescent="0.2">
      <c r="A77" s="2">
        <v>36.44444</v>
      </c>
      <c r="B77" s="2">
        <v>0.95712381700000004</v>
      </c>
      <c r="D77" s="2">
        <v>38.181820000000002</v>
      </c>
      <c r="E77" s="2">
        <v>0.54527550000000002</v>
      </c>
    </row>
    <row r="78" spans="1:5" x14ac:dyDescent="0.2">
      <c r="A78" s="2">
        <v>36.666670000000003</v>
      </c>
      <c r="B78" s="2">
        <v>0.96228934600000005</v>
      </c>
      <c r="D78" s="2">
        <v>38.454549999999998</v>
      </c>
      <c r="E78" s="2">
        <v>0.5393116</v>
      </c>
    </row>
    <row r="79" spans="1:5" x14ac:dyDescent="0.2">
      <c r="A79" s="2">
        <v>36.888890000000004</v>
      </c>
      <c r="B79" s="2">
        <v>0.96685410800000005</v>
      </c>
      <c r="D79" s="2">
        <v>38.727269999999997</v>
      </c>
      <c r="E79" s="2">
        <v>0.53333640000000004</v>
      </c>
    </row>
    <row r="80" spans="1:5" x14ac:dyDescent="0.2">
      <c r="A80" s="2">
        <v>37.111109999999996</v>
      </c>
      <c r="B80" s="2">
        <v>0.97088303799999998</v>
      </c>
      <c r="D80" s="2">
        <v>39</v>
      </c>
      <c r="E80" s="2">
        <v>0.52735160000000003</v>
      </c>
    </row>
    <row r="81" spans="1:5" x14ac:dyDescent="0.2">
      <c r="A81" s="2">
        <v>37.333329999999997</v>
      </c>
      <c r="B81" s="2">
        <v>0.974435194</v>
      </c>
      <c r="D81" s="2">
        <v>39.272730000000003</v>
      </c>
      <c r="E81" s="2">
        <v>0.52135889999999996</v>
      </c>
    </row>
    <row r="82" spans="1:5" x14ac:dyDescent="0.2">
      <c r="A82" s="2">
        <v>37.55556</v>
      </c>
      <c r="B82" s="2">
        <v>0.97756401599999998</v>
      </c>
      <c r="D82" s="2">
        <v>39.545450000000002</v>
      </c>
      <c r="E82" s="2">
        <v>0.51536009999999999</v>
      </c>
    </row>
    <row r="83" spans="1:5" x14ac:dyDescent="0.2">
      <c r="A83" s="2">
        <v>37.77778</v>
      </c>
      <c r="B83" s="2">
        <v>0.98031764200000004</v>
      </c>
      <c r="D83" s="2">
        <v>39.818179999999998</v>
      </c>
      <c r="E83" s="2">
        <v>0.5093569</v>
      </c>
    </row>
    <row r="84" spans="1:5" x14ac:dyDescent="0.2">
      <c r="A84" s="2">
        <v>38</v>
      </c>
      <c r="B84" s="2">
        <v>0.98273927599999999</v>
      </c>
      <c r="D84" s="2">
        <v>40.090910000000001</v>
      </c>
      <c r="E84" s="2">
        <v>0.50335090000000005</v>
      </c>
    </row>
    <row r="85" spans="1:5" x14ac:dyDescent="0.2">
      <c r="A85" s="2">
        <v>38.22222</v>
      </c>
      <c r="B85" s="2">
        <v>0.98486756200000003</v>
      </c>
      <c r="D85" s="2">
        <v>40.363639999999997</v>
      </c>
      <c r="E85" s="2">
        <v>0.49734400000000001</v>
      </c>
    </row>
    <row r="86" spans="1:5" x14ac:dyDescent="0.2">
      <c r="A86" s="2">
        <v>38.44444</v>
      </c>
      <c r="B86" s="2">
        <v>0.98673696700000002</v>
      </c>
      <c r="D86" s="2">
        <v>40.636360000000003</v>
      </c>
      <c r="E86" s="2">
        <v>0.49133789999999999</v>
      </c>
    </row>
    <row r="87" spans="1:5" x14ac:dyDescent="0.2">
      <c r="A87" s="2">
        <v>38.666670000000003</v>
      </c>
      <c r="B87" s="2">
        <v>0.98837815699999998</v>
      </c>
      <c r="D87" s="2">
        <v>40.909089999999999</v>
      </c>
      <c r="E87" s="2">
        <v>0.4853343</v>
      </c>
    </row>
    <row r="88" spans="1:5" x14ac:dyDescent="0.2">
      <c r="A88" s="2">
        <v>38.888890000000004</v>
      </c>
      <c r="B88" s="2">
        <v>0.98981836000000001</v>
      </c>
      <c r="D88" s="2">
        <v>41.181820000000002</v>
      </c>
      <c r="E88" s="2">
        <v>0.47933490000000001</v>
      </c>
    </row>
    <row r="89" spans="1:5" x14ac:dyDescent="0.2">
      <c r="A89" s="2">
        <v>39.111109999999996</v>
      </c>
      <c r="B89" s="2">
        <v>0.99108169999999995</v>
      </c>
      <c r="D89" s="2">
        <v>41.454549999999998</v>
      </c>
      <c r="E89" s="2">
        <v>0.47334140000000002</v>
      </c>
    </row>
    <row r="90" spans="1:5" x14ac:dyDescent="0.2">
      <c r="A90" s="2">
        <v>39.333329999999997</v>
      </c>
      <c r="B90" s="2">
        <v>0.99218952199999999</v>
      </c>
      <c r="D90" s="2">
        <v>41.727269999999997</v>
      </c>
      <c r="E90" s="2">
        <v>0.46735559999999998</v>
      </c>
    </row>
    <row r="91" spans="1:5" x14ac:dyDescent="0.2">
      <c r="A91" s="2">
        <v>39.55556</v>
      </c>
      <c r="B91" s="2">
        <v>0.99316068000000002</v>
      </c>
      <c r="D91" s="2">
        <v>42</v>
      </c>
      <c r="E91" s="2">
        <v>0.46137919999999999</v>
      </c>
    </row>
    <row r="92" spans="1:5" x14ac:dyDescent="0.2">
      <c r="A92" s="2">
        <v>39.77778</v>
      </c>
      <c r="B92" s="2">
        <v>0.99401181299999997</v>
      </c>
      <c r="D92" s="2">
        <v>42.272730000000003</v>
      </c>
      <c r="E92" s="2">
        <v>0.45541389999999998</v>
      </c>
    </row>
    <row r="93" spans="1:5" x14ac:dyDescent="0.2">
      <c r="A93" s="2">
        <v>40</v>
      </c>
      <c r="B93" s="2">
        <v>0.994757585</v>
      </c>
      <c r="D93" s="2">
        <v>42.545450000000002</v>
      </c>
      <c r="E93" s="2">
        <v>0.44946140000000001</v>
      </c>
    </row>
    <row r="94" spans="1:5" x14ac:dyDescent="0.2">
      <c r="A94" s="2">
        <v>40.22222</v>
      </c>
      <c r="B94" s="2">
        <v>0.99541090600000004</v>
      </c>
      <c r="D94" s="2">
        <v>42.818179999999998</v>
      </c>
      <c r="E94" s="2">
        <v>0.44352330000000001</v>
      </c>
    </row>
    <row r="95" spans="1:5" x14ac:dyDescent="0.2">
      <c r="A95" s="2">
        <v>40.44444</v>
      </c>
      <c r="B95" s="2">
        <v>0.99598313800000005</v>
      </c>
      <c r="D95" s="2">
        <v>43.090910000000001</v>
      </c>
      <c r="E95" s="2">
        <v>0.43760120000000002</v>
      </c>
    </row>
    <row r="96" spans="1:5" x14ac:dyDescent="0.2">
      <c r="A96" s="2">
        <v>40.666670000000003</v>
      </c>
      <c r="B96" s="2">
        <v>0.99648426800000001</v>
      </c>
      <c r="D96" s="2">
        <v>43.363639999999997</v>
      </c>
      <c r="E96" s="2">
        <v>0.431697</v>
      </c>
    </row>
    <row r="97" spans="1:5" x14ac:dyDescent="0.2">
      <c r="A97" s="2">
        <v>40.888890000000004</v>
      </c>
      <c r="B97" s="2">
        <v>0.99692307199999997</v>
      </c>
      <c r="D97" s="2">
        <v>43.636360000000003</v>
      </c>
      <c r="E97" s="2">
        <v>0.42581200000000002</v>
      </c>
    </row>
    <row r="98" spans="1:5" x14ac:dyDescent="0.2">
      <c r="A98" s="2">
        <v>41.111109999999996</v>
      </c>
      <c r="B98" s="2">
        <v>0.99730725600000003</v>
      </c>
      <c r="D98" s="2">
        <v>43.909089999999999</v>
      </c>
      <c r="E98" s="2">
        <v>0.41994799999999999</v>
      </c>
    </row>
    <row r="99" spans="1:5" x14ac:dyDescent="0.2">
      <c r="A99" s="2">
        <v>41.333329999999997</v>
      </c>
      <c r="B99" s="2">
        <v>0.99764358399999997</v>
      </c>
      <c r="D99" s="2">
        <v>44.181820000000002</v>
      </c>
      <c r="E99" s="2">
        <v>0.41410649999999999</v>
      </c>
    </row>
    <row r="100" spans="1:5" x14ac:dyDescent="0.2">
      <c r="A100" s="2">
        <v>41.55556</v>
      </c>
      <c r="B100" s="2">
        <v>0.997937992</v>
      </c>
      <c r="D100" s="2">
        <v>44.454549999999998</v>
      </c>
      <c r="E100" s="2">
        <v>0.40828910000000002</v>
      </c>
    </row>
    <row r="101" spans="1:5" x14ac:dyDescent="0.2">
      <c r="A101" s="2">
        <v>41.77778</v>
      </c>
      <c r="B101" s="2">
        <v>0.99819568299999994</v>
      </c>
      <c r="D101" s="2">
        <v>44.727269999999997</v>
      </c>
      <c r="E101" s="2">
        <v>0.4024973</v>
      </c>
    </row>
    <row r="102" spans="1:5" x14ac:dyDescent="0.2">
      <c r="A102" s="2">
        <v>42</v>
      </c>
      <c r="B102" s="2">
        <v>0.99842122099999997</v>
      </c>
      <c r="D102" s="2">
        <v>45</v>
      </c>
      <c r="E102" s="2">
        <v>0.39673249999999999</v>
      </c>
    </row>
  </sheetData>
  <pageMargins left="0.7" right="0.7" top="0.75" bottom="0.75" header="0.3" footer="0.3"/>
  <pageSetup paperSize="9" orientation="portrait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9"/>
  <sheetViews>
    <sheetView workbookViewId="0">
      <selection activeCell="H13" sqref="H13"/>
    </sheetView>
  </sheetViews>
  <sheetFormatPr baseColWidth="10" defaultColWidth="8.83203125" defaultRowHeight="15" x14ac:dyDescent="0.2"/>
  <cols>
    <col min="2" max="2" width="21.6640625" customWidth="1"/>
    <col min="3" max="3" width="10.5" customWidth="1"/>
    <col min="4" max="4" width="11.33203125" customWidth="1"/>
    <col min="5" max="5" width="15.83203125" customWidth="1"/>
    <col min="7" max="7" width="10.33203125" bestFit="1" customWidth="1"/>
    <col min="8" max="8" width="13.5" bestFit="1" customWidth="1"/>
    <col min="9" max="9" width="12.33203125" customWidth="1"/>
  </cols>
  <sheetData>
    <row r="1" spans="2:11" ht="16" thickBot="1" x14ac:dyDescent="0.25"/>
    <row r="2" spans="2:11" ht="46" thickBot="1" x14ac:dyDescent="0.25">
      <c r="B2" s="3" t="s">
        <v>24</v>
      </c>
      <c r="C2" s="11" t="s">
        <v>26</v>
      </c>
      <c r="D2" s="11" t="s">
        <v>27</v>
      </c>
      <c r="E2" s="4" t="s">
        <v>36</v>
      </c>
      <c r="G2" s="17" t="s">
        <v>37</v>
      </c>
      <c r="H2" s="18" t="s">
        <v>40</v>
      </c>
      <c r="I2" s="19" t="s">
        <v>41</v>
      </c>
      <c r="J2" s="25" t="s">
        <v>47</v>
      </c>
      <c r="K2" s="25"/>
    </row>
    <row r="3" spans="2:11" ht="16" thickBot="1" x14ac:dyDescent="0.25">
      <c r="B3" s="12">
        <v>33</v>
      </c>
      <c r="C3" s="13">
        <v>5</v>
      </c>
      <c r="D3" s="13">
        <v>130</v>
      </c>
      <c r="E3" s="10">
        <v>26</v>
      </c>
      <c r="G3" s="5">
        <v>1</v>
      </c>
      <c r="H3" s="6"/>
      <c r="I3" s="14">
        <f>1/16*100</f>
        <v>6.25</v>
      </c>
      <c r="J3">
        <v>1</v>
      </c>
    </row>
    <row r="4" spans="2:11" x14ac:dyDescent="0.2">
      <c r="G4" s="5">
        <v>2</v>
      </c>
      <c r="H4" s="20" t="s">
        <v>38</v>
      </c>
      <c r="I4" s="14">
        <f>6/14*100</f>
        <v>42.857142857142854</v>
      </c>
      <c r="J4">
        <v>2</v>
      </c>
    </row>
    <row r="5" spans="2:11" x14ac:dyDescent="0.2">
      <c r="G5" s="5">
        <v>3</v>
      </c>
      <c r="H5" s="20" t="s">
        <v>38</v>
      </c>
      <c r="I5" s="14">
        <f>6/12*100</f>
        <v>50</v>
      </c>
      <c r="J5">
        <v>2.5</v>
      </c>
    </row>
    <row r="6" spans="2:11" x14ac:dyDescent="0.2">
      <c r="G6" s="5">
        <v>4</v>
      </c>
      <c r="H6" s="20" t="s">
        <v>38</v>
      </c>
      <c r="I6" s="14">
        <f>3/4*100</f>
        <v>75</v>
      </c>
      <c r="J6">
        <v>3</v>
      </c>
    </row>
    <row r="7" spans="2:11" ht="16" thickBot="1" x14ac:dyDescent="0.25">
      <c r="G7" s="8" t="s">
        <v>39</v>
      </c>
      <c r="H7" s="9">
        <f>3/8*100</f>
        <v>37.5</v>
      </c>
      <c r="I7" s="15">
        <f>3/3*100</f>
        <v>100</v>
      </c>
    </row>
    <row r="8" spans="2:11" x14ac:dyDescent="0.2">
      <c r="B8" t="s">
        <v>35</v>
      </c>
    </row>
    <row r="9" spans="2:11" x14ac:dyDescent="0.2">
      <c r="B9" t="s">
        <v>44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Males_Surv&amp;Repro_age</vt:lpstr>
      <vt:lpstr>Sheet1</vt:lpstr>
      <vt:lpstr>Females_Surv&amp;Repro_age</vt:lpstr>
      <vt:lpstr>Reproduction</vt:lpstr>
      <vt:lpstr>Dispersal_age</vt:lpstr>
      <vt:lpstr>Dispersal_surv</vt:lpstr>
      <vt:lpstr>Male_tenure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MLP_Nic</dc:creator>
  <cp:lastModifiedBy>Microsoft Office User</cp:lastModifiedBy>
  <dcterms:created xsi:type="dcterms:W3CDTF">2016-12-09T07:32:55Z</dcterms:created>
  <dcterms:modified xsi:type="dcterms:W3CDTF">2017-04-28T15:42:17Z</dcterms:modified>
</cp:coreProperties>
</file>