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2"/>
  <workbookPr filterPrivacy="1"/>
  <xr:revisionPtr revIDLastSave="0" documentId="13_ncr:1_{EF28182E-4FD8-4EBA-87F6-540D4DC8B65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Лист1" sheetId="1" r:id="rId1"/>
    <sheet name="Лист3" sheetId="6" r:id="rId2"/>
    <sheet name="Лист4" sheetId="7" r:id="rId3"/>
    <sheet name="Лист2" sheetId="5" r:id="rId4"/>
    <sheet name="функциональные точки" sheetId="3" r:id="rId5"/>
    <sheet name="COCOMO II" sheetId="4" r:id="rId6"/>
    <sheet name="PER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7" l="1"/>
  <c r="C19" i="6"/>
  <c r="C18" i="6"/>
  <c r="B9" i="6"/>
  <c r="C9" i="6" s="1"/>
  <c r="B10" i="6"/>
  <c r="C10" i="6" s="1"/>
  <c r="B11" i="6"/>
  <c r="C11" i="6" s="1"/>
  <c r="B8" i="6"/>
  <c r="C8" i="6" s="1"/>
  <c r="B12" i="6"/>
  <c r="C12" i="6" s="1"/>
  <c r="B13" i="6"/>
  <c r="C13" i="6" s="1"/>
  <c r="B6" i="6"/>
  <c r="C6" i="6" s="1"/>
  <c r="B5" i="6"/>
  <c r="C5" i="6" s="1"/>
  <c r="B7" i="6"/>
  <c r="C7" i="6" s="1"/>
  <c r="B4" i="6"/>
  <c r="C4" i="6" s="1"/>
  <c r="B3" i="6"/>
  <c r="C3" i="6" s="1"/>
  <c r="C2" i="6"/>
  <c r="C12" i="1"/>
  <c r="B5" i="1"/>
  <c r="B6" i="1"/>
  <c r="B7" i="1"/>
  <c r="B8" i="1"/>
  <c r="B4" i="1"/>
  <c r="B3" i="1"/>
  <c r="C14" i="1"/>
  <c r="C14" i="6" l="1"/>
  <c r="B10" i="4"/>
  <c r="B11" i="4" s="1"/>
  <c r="B8" i="4"/>
  <c r="C1" i="4"/>
  <c r="F21" i="3"/>
  <c r="F18" i="3"/>
  <c r="F14" i="3"/>
  <c r="F22" i="3" s="1"/>
  <c r="B25" i="3" s="1"/>
  <c r="C25" i="3" s="1"/>
  <c r="D25" i="3" s="1"/>
  <c r="F9" i="3"/>
  <c r="D3" i="1" l="1"/>
  <c r="K15" i="2" l="1"/>
  <c r="K16" i="2"/>
  <c r="K17" i="2"/>
  <c r="K18" i="2"/>
  <c r="K19" i="2"/>
  <c r="K20" i="2"/>
  <c r="K21" i="2"/>
  <c r="K14" i="2"/>
  <c r="J6" i="2"/>
  <c r="J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K22" i="2" l="1"/>
  <c r="D4" i="1"/>
  <c r="D9" i="1" s="1"/>
  <c r="D5" i="1"/>
  <c r="D6" i="1"/>
  <c r="D7" i="1"/>
  <c r="D8" i="1"/>
</calcChain>
</file>

<file path=xl/sharedStrings.xml><?xml version="1.0" encoding="utf-8"?>
<sst xmlns="http://schemas.openxmlformats.org/spreadsheetml/2006/main" count="219" uniqueCount="111">
  <si>
    <t>Чистый дисконтированный доход</t>
  </si>
  <si>
    <t>Период</t>
  </si>
  <si>
    <t>Денежный поток</t>
  </si>
  <si>
    <t>Дисконт</t>
  </si>
  <si>
    <t>Чистая приведенная стоимость</t>
  </si>
  <si>
    <t>ИТОГО:</t>
  </si>
  <si>
    <t>Индекс доходности</t>
  </si>
  <si>
    <t>Внутренняя норма доходности</t>
  </si>
  <si>
    <t>Срок окупаемости</t>
  </si>
  <si>
    <t>№</t>
  </si>
  <si>
    <t>Этап</t>
  </si>
  <si>
    <t>Предшествующий этап</t>
  </si>
  <si>
    <t>ES</t>
  </si>
  <si>
    <t>EF</t>
  </si>
  <si>
    <t>LS</t>
  </si>
  <si>
    <t>LF</t>
  </si>
  <si>
    <t>Общий резерв времени</t>
  </si>
  <si>
    <t>Свободный резерв времени</t>
  </si>
  <si>
    <t>Объем времени</t>
  </si>
  <si>
    <t>Старт</t>
  </si>
  <si>
    <t>Исследование предметной области</t>
  </si>
  <si>
    <t>Проектирование системы</t>
  </si>
  <si>
    <t>Создание плана работы</t>
  </si>
  <si>
    <t>Разработка</t>
  </si>
  <si>
    <t>Тестирование</t>
  </si>
  <si>
    <t>Анализ рынка</t>
  </si>
  <si>
    <t>Подготовка к запуску</t>
  </si>
  <si>
    <t>Запуск</t>
  </si>
  <si>
    <t>Задача</t>
  </si>
  <si>
    <t>Оптимистичное время</t>
  </si>
  <si>
    <t>Вероятное время</t>
  </si>
  <si>
    <t>Пессимистичное время</t>
  </si>
  <si>
    <t>Длительность</t>
  </si>
  <si>
    <t>ИТОГО</t>
  </si>
  <si>
    <t>EI</t>
  </si>
  <si>
    <t>Добавление пользователя</t>
  </si>
  <si>
    <t>Добавление данных измерения метрики здоровья</t>
  </si>
  <si>
    <t>Добавление пользователя в семейную группу</t>
  </si>
  <si>
    <t>Внос информации о количестве лекарства</t>
  </si>
  <si>
    <t>Внос информации о времени приема лекарства</t>
  </si>
  <si>
    <t>EO</t>
  </si>
  <si>
    <t>Статистика измерений метрик здоровья</t>
  </si>
  <si>
    <t>Уведомление о приеме лекарства</t>
  </si>
  <si>
    <t xml:space="preserve">Уведомление о пополнении запаса </t>
  </si>
  <si>
    <t>Уведомление члена семейной группы</t>
  </si>
  <si>
    <t>ILF</t>
  </si>
  <si>
    <t>База данных с данными метрик здоровья</t>
  </si>
  <si>
    <t>Изменение данных о количестве лекарства</t>
  </si>
  <si>
    <t>Изменение данных о приеме лекарства</t>
  </si>
  <si>
    <t>Подтверждение приема лекарства</t>
  </si>
  <si>
    <t>Отправка статистики по метрикам здоровья члену семейной группы</t>
  </si>
  <si>
    <t>Члены семейной группы</t>
  </si>
  <si>
    <t>Время приема лекарств</t>
  </si>
  <si>
    <t>Лекарства и их запасы</t>
  </si>
  <si>
    <t>EIF</t>
  </si>
  <si>
    <t>API Telegram</t>
  </si>
  <si>
    <t>SMS</t>
  </si>
  <si>
    <t>Рассылка по email</t>
  </si>
  <si>
    <t>графики+сравнение с нормой</t>
  </si>
  <si>
    <t>название+время+звуковой сигнал</t>
  </si>
  <si>
    <t>название+остаток+звуковой сигнал</t>
  </si>
  <si>
    <t>название+время+остаток</t>
  </si>
  <si>
    <t>название, количество в упаковке, остаток</t>
  </si>
  <si>
    <t>имя пользователя, email, телефон, telegram id</t>
  </si>
  <si>
    <t>название метрики, дата и время измерения, количество, единица измерения</t>
  </si>
  <si>
    <t>название, время</t>
  </si>
  <si>
    <t>Средняя</t>
  </si>
  <si>
    <t>Низкая</t>
  </si>
  <si>
    <t>Тип</t>
  </si>
  <si>
    <t>Описание</t>
  </si>
  <si>
    <t>Сложность</t>
  </si>
  <si>
    <t>FP</t>
  </si>
  <si>
    <t>Высокая</t>
  </si>
  <si>
    <t>итого</t>
  </si>
  <si>
    <t>Количество часов на FP</t>
  </si>
  <si>
    <t>Всего часов</t>
  </si>
  <si>
    <t>Рабочих дней</t>
  </si>
  <si>
    <t>A</t>
  </si>
  <si>
    <t>E</t>
  </si>
  <si>
    <t xml:space="preserve">Effort = A × (Size)^E = </t>
  </si>
  <si>
    <t>Size</t>
  </si>
  <si>
    <t>Надёжность (RELY)</t>
  </si>
  <si>
    <t>Медицинские напоминания требуют стабильности.</t>
  </si>
  <si>
    <t>Опыт команды (PERS)</t>
  </si>
  <si>
    <t>Предположим, разработчики знакомы с Kotlin и Firebase.</t>
  </si>
  <si>
    <t>Инструменты (TOOL)</t>
  </si>
  <si>
    <t>Используются Android Studio, Firebase, Jetpack Compose.</t>
  </si>
  <si>
    <t>Сроки (SCED)</t>
  </si>
  <si>
    <t>Стандартный график.</t>
  </si>
  <si>
    <t>Поправочный коеффициент</t>
  </si>
  <si>
    <t>Усиление</t>
  </si>
  <si>
    <t>Человеко-часов</t>
  </si>
  <si>
    <t>Месяцев</t>
  </si>
  <si>
    <t>Канал</t>
  </si>
  <si>
    <t>Бюджет</t>
  </si>
  <si>
    <t>Доля</t>
  </si>
  <si>
    <t>Традиционные СМИ</t>
  </si>
  <si>
    <t>$12,000</t>
  </si>
  <si>
    <t>Локальные точки присутствия</t>
  </si>
  <si>
    <t>$9,000</t>
  </si>
  <si>
    <t>Онлайн-реклама</t>
  </si>
  <si>
    <t>$4,500</t>
  </si>
  <si>
    <t>Партнерские программы</t>
  </si>
  <si>
    <t>$1,500</t>
  </si>
  <si>
    <t>Пользователи</t>
  </si>
  <si>
    <t>Доход</t>
  </si>
  <si>
    <t>Месяц</t>
  </si>
  <si>
    <t>Инвесторам</t>
  </si>
  <si>
    <t>Процент</t>
  </si>
  <si>
    <t>Нам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</si>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</sst>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404040"/>
      <name val="Segoe UI"/>
      <family val="2"/>
      <charset val="204"/>
    </font>
    <font>
      <sz val="11"/>
      <color rgb="FF404040"/>
      <name val="Calibri"/>
      <family val="2"/>
      <charset val="204"/>
      <scheme val="minor"/>
    </font>
    <font>
      <b/>
      <sz val="12"/>
      <color rgb="FF40404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3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 wrapText="1"/>
    </xf>
    <xf numFmtId="2" fontId="0" fillId="0" borderId="0" xfId="0" applyNumberFormat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9" fontId="0" fillId="2" borderId="0" xfId="0" applyNumberFormat="1" applyFill="1"/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2" fontId="0" fillId="0" borderId="1" xfId="0" applyNumberFormat="1" applyBorder="1"/>
    <xf numFmtId="0" fontId="5" fillId="0" borderId="2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9" fontId="3" fillId="0" borderId="3" xfId="0" applyNumberFormat="1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 приведенная стоимость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Лист1!$D$3:$D$8</c:f>
              <c:numCache>
                <c:formatCode>General</c:formatCode>
                <c:ptCount val="6"/>
                <c:pt idx="0">
                  <c:v>-6700000</c:v>
                </c:pt>
                <c:pt idx="1">
                  <c:v>40000000</c:v>
                </c:pt>
                <c:pt idx="2">
                  <c:v>36363636.36363636</c:v>
                </c:pt>
                <c:pt idx="3">
                  <c:v>33057851.239669412</c:v>
                </c:pt>
                <c:pt idx="4">
                  <c:v>30052592.036063101</c:v>
                </c:pt>
                <c:pt idx="5">
                  <c:v>27320538.214602817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1-492C-9511-60334BCA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8056"/>
        <c:axId val="446604776"/>
      </c:lineChart>
      <c:catAx>
        <c:axId val="44660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4776"/>
        <c:crosses val="autoZero"/>
        <c:auto val="1"/>
        <c:lblAlgn val="ctr"/>
        <c:lblOffset val="100"/>
        <c:noMultiLvlLbl val="0"/>
      </c:catAx>
      <c:valAx>
        <c:axId val="4466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пользователе</a:t>
            </a:r>
            <a:r>
              <a:rPr lang="ru-RU" baseline="0"/>
              <a:t>й в первый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Лист3!$B$2:$B$13</c:f>
              <c:numCache>
                <c:formatCode>General</c:formatCode>
                <c:ptCount val="12"/>
                <c:pt idx="0">
                  <c:v>30000</c:v>
                </c:pt>
                <c:pt idx="1">
                  <c:v>16800</c:v>
                </c:pt>
                <c:pt idx="2">
                  <c:v>10800</c:v>
                </c:pt>
                <c:pt idx="3">
                  <c:v>10200</c:v>
                </c:pt>
                <c:pt idx="4">
                  <c:v>9900</c:v>
                </c:pt>
                <c:pt idx="5">
                  <c:v>9600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8100.0000000000009</c:v>
                </c:pt>
                <c:pt idx="11">
                  <c:v>8100.0000000000009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7-4FE5-ACE9-1C20565B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2952"/>
        <c:axId val="561874752"/>
      </c:scatterChart>
      <c:valAx>
        <c:axId val="56187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74752"/>
        <c:crosses val="autoZero"/>
        <c:crossBetween val="midCat"/>
      </c:valAx>
      <c:valAx>
        <c:axId val="561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7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денег в рекламной</a:t>
            </a:r>
            <a:r>
              <a:rPr lang="ru-RU" baseline="0"/>
              <a:t> компании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Лист2!$C$1</c:f>
              <c:strCache>
                <c:ptCount val="1"/>
                <c:pt idx="0">
                  <c:v>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3-49A6-9A3E-FAECFA217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3-49A6-9A3E-FAECFA217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3-49A6-9A3E-FAECFA217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3-49A6-9A3E-FAECFA217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Лист2!$A$2:$A$5</c:f>
              <c:strCache>
                <c:ptCount val="4"/>
                <c:pt idx="0">
                  <c:v>Традиционные СМИ</c:v>
                </c:pt>
                <c:pt idx="1">
                  <c:v>Локальные точки присутствия</c:v>
                </c:pt>
                <c:pt idx="2">
                  <c:v>Онлайн-реклама</c:v>
                </c:pt>
                <c:pt idx="3">
                  <c:v>Партнерские программы</c:v>
                </c:pt>
              </c:strCache>
            </c:strRef>
          </c:cat>
          <c:val>
            <c:numRef>
              <c:f>Лист2!$C$2:$C$5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C69-9BDB-38F23832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63773607041251E-2"/>
          <c:y val="0.72739032620922373"/>
          <c:w val="0.92778816166151612"/>
          <c:h val="0.2500532828133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76200</xdr:rowOff>
    </xdr:from>
    <xdr:to>
      <xdr:col>12</xdr:col>
      <xdr:colOff>528637</xdr:colOff>
      <xdr:row>16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136525</xdr:rowOff>
    </xdr:from>
    <xdr:to>
      <xdr:col>12</xdr:col>
      <xdr:colOff>85725</xdr:colOff>
      <xdr:row>15</xdr:row>
      <xdr:rowOff>117475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1A9623-3441-76B4-14C5-56F89C60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0</xdr:row>
      <xdr:rowOff>257174</xdr:rowOff>
    </xdr:from>
    <xdr:to>
      <xdr:col>11</xdr:col>
      <xdr:colOff>38100</xdr:colOff>
      <xdr:row>4</xdr:row>
      <xdr:rowOff>276224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E13" sqref="E13"/>
    </sheetView>
  </sheetViews>
  <sheetFormatPr defaultRowHeight="14.5" x14ac:dyDescent="0.35"/>
  <cols>
    <col min="4" max="4" width="30" bestFit="1" customWidth="1"/>
  </cols>
  <sheetData>
    <row r="1" spans="1:4" x14ac:dyDescent="0.35">
      <c r="A1" s="1" t="s">
        <v>0</v>
      </c>
      <c r="B1" s="1"/>
      <c r="C1" s="1"/>
      <c r="D1" s="1"/>
    </row>
    <row r="2" spans="1:4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5">
      <c r="A3" s="1">
        <v>0</v>
      </c>
      <c r="B3" s="1">
        <f>-4200000-2500000</f>
        <v>-6700000</v>
      </c>
      <c r="C3" s="1">
        <v>0.1</v>
      </c>
      <c r="D3" s="1">
        <f>B3/(1+C3)^A3</f>
        <v>-6700000</v>
      </c>
    </row>
    <row r="4" spans="1:4" x14ac:dyDescent="0.35">
      <c r="A4" s="1">
        <v>1</v>
      </c>
      <c r="B4" s="1">
        <f>48000000-4000000</f>
        <v>44000000</v>
      </c>
      <c r="C4" s="1">
        <v>0.1</v>
      </c>
      <c r="D4" s="1">
        <f t="shared" ref="D4:D8" si="0">B4/(1+C4)^A4</f>
        <v>40000000</v>
      </c>
    </row>
    <row r="5" spans="1:4" x14ac:dyDescent="0.35">
      <c r="A5" s="1">
        <v>2</v>
      </c>
      <c r="B5" s="1">
        <f>48000000-4000000</f>
        <v>44000000</v>
      </c>
      <c r="C5" s="1">
        <v>0.1</v>
      </c>
      <c r="D5" s="1">
        <f t="shared" si="0"/>
        <v>36363636.36363636</v>
      </c>
    </row>
    <row r="6" spans="1:4" x14ac:dyDescent="0.35">
      <c r="A6" s="1">
        <v>3</v>
      </c>
      <c r="B6" s="1">
        <f t="shared" ref="B6:B8" si="1">48000000-4000000</f>
        <v>44000000</v>
      </c>
      <c r="C6" s="1">
        <v>0.1</v>
      </c>
      <c r="D6" s="1">
        <f t="shared" si="0"/>
        <v>33057851.239669412</v>
      </c>
    </row>
    <row r="7" spans="1:4" x14ac:dyDescent="0.35">
      <c r="A7" s="1">
        <v>4</v>
      </c>
      <c r="B7" s="1">
        <f t="shared" si="1"/>
        <v>44000000</v>
      </c>
      <c r="C7" s="1">
        <v>0.1</v>
      </c>
      <c r="D7" s="1">
        <f t="shared" si="0"/>
        <v>30052592.036063101</v>
      </c>
    </row>
    <row r="8" spans="1:4" x14ac:dyDescent="0.35">
      <c r="A8" s="1">
        <v>5</v>
      </c>
      <c r="B8" s="1">
        <f t="shared" si="1"/>
        <v>44000000</v>
      </c>
      <c r="C8" s="1">
        <v>0.1</v>
      </c>
      <c r="D8" s="1">
        <f t="shared" si="0"/>
        <v>27320538.214602817</v>
      </c>
    </row>
    <row r="9" spans="1:4" x14ac:dyDescent="0.35">
      <c r="A9" s="7" t="s">
        <v>5</v>
      </c>
      <c r="B9" s="1"/>
      <c r="C9" s="1"/>
      <c r="D9" s="8">
        <f>SUM(D3:D8)</f>
        <v>160094617.85397169</v>
      </c>
    </row>
    <row r="12" spans="1:4" x14ac:dyDescent="0.35">
      <c r="A12" t="s">
        <v>6</v>
      </c>
      <c r="C12" s="9">
        <f>D9/(-1*D3)</f>
        <v>23.894719082682343</v>
      </c>
    </row>
    <row r="14" spans="1:4" x14ac:dyDescent="0.35">
      <c r="A14" t="s">
        <v>7</v>
      </c>
      <c r="C14" s="10">
        <f>IRR(B3:B8)</f>
        <v>6.5668994583108304</v>
      </c>
    </row>
    <row r="16" spans="1:4" x14ac:dyDescent="0.35">
      <c r="A16" t="s">
        <v>8</v>
      </c>
      <c r="B16" s="9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074A-9DA4-49B2-94F5-19AC6DD35ABC}">
  <dimension ref="A1:C19"/>
  <sheetViews>
    <sheetView topLeftCell="B1" workbookViewId="0">
      <selection activeCell="D22" sqref="D22"/>
    </sheetView>
  </sheetViews>
  <sheetFormatPr defaultRowHeight="14.5" x14ac:dyDescent="0.35"/>
  <cols>
    <col min="3" max="3" width="9.81640625" bestFit="1" customWidth="1"/>
  </cols>
  <sheetData>
    <row r="1" spans="1:3" x14ac:dyDescent="0.35">
      <c r="A1" t="s">
        <v>106</v>
      </c>
      <c r="B1" t="s">
        <v>104</v>
      </c>
      <c r="C1" t="s">
        <v>105</v>
      </c>
    </row>
    <row r="2" spans="1:3" x14ac:dyDescent="0.35">
      <c r="A2">
        <v>1</v>
      </c>
      <c r="B2">
        <v>30000</v>
      </c>
      <c r="C2">
        <f>B2*100</f>
        <v>3000000</v>
      </c>
    </row>
    <row r="3" spans="1:3" x14ac:dyDescent="0.35">
      <c r="A3">
        <v>2</v>
      </c>
      <c r="B3">
        <f>$B$2 *0.56</f>
        <v>16800</v>
      </c>
      <c r="C3">
        <f t="shared" ref="C3:C13" si="0">B3*100</f>
        <v>1680000</v>
      </c>
    </row>
    <row r="4" spans="1:3" x14ac:dyDescent="0.35">
      <c r="A4">
        <v>3</v>
      </c>
      <c r="B4">
        <f>$B$2 *0.36</f>
        <v>10800</v>
      </c>
      <c r="C4">
        <f t="shared" si="0"/>
        <v>1080000</v>
      </c>
    </row>
    <row r="5" spans="1:3" x14ac:dyDescent="0.35">
      <c r="A5">
        <v>4</v>
      </c>
      <c r="B5">
        <f>$B$2 *0.34</f>
        <v>10200</v>
      </c>
      <c r="C5">
        <f t="shared" si="0"/>
        <v>1020000</v>
      </c>
    </row>
    <row r="6" spans="1:3" x14ac:dyDescent="0.35">
      <c r="A6">
        <v>5</v>
      </c>
      <c r="B6">
        <f>$B$2 *0.33</f>
        <v>9900</v>
      </c>
      <c r="C6">
        <f t="shared" si="0"/>
        <v>990000</v>
      </c>
    </row>
    <row r="7" spans="1:3" x14ac:dyDescent="0.35">
      <c r="A7">
        <v>6</v>
      </c>
      <c r="B7">
        <f>$B$2 *0.32</f>
        <v>9600</v>
      </c>
      <c r="C7">
        <f t="shared" si="0"/>
        <v>960000</v>
      </c>
    </row>
    <row r="8" spans="1:3" x14ac:dyDescent="0.35">
      <c r="A8">
        <v>7</v>
      </c>
      <c r="B8">
        <f>$B$2 *0.29</f>
        <v>8700</v>
      </c>
      <c r="C8">
        <f t="shared" si="0"/>
        <v>870000</v>
      </c>
    </row>
    <row r="9" spans="1:3" x14ac:dyDescent="0.35">
      <c r="A9">
        <v>8</v>
      </c>
      <c r="B9">
        <f t="shared" ref="B9:B11" si="1">$B$2 *0.29</f>
        <v>8700</v>
      </c>
      <c r="C9">
        <f t="shared" si="0"/>
        <v>870000</v>
      </c>
    </row>
    <row r="10" spans="1:3" x14ac:dyDescent="0.35">
      <c r="A10">
        <v>9</v>
      </c>
      <c r="B10">
        <f t="shared" si="1"/>
        <v>8700</v>
      </c>
      <c r="C10">
        <f t="shared" si="0"/>
        <v>870000</v>
      </c>
    </row>
    <row r="11" spans="1:3" x14ac:dyDescent="0.35">
      <c r="A11">
        <v>10</v>
      </c>
      <c r="B11">
        <f t="shared" si="1"/>
        <v>8700</v>
      </c>
      <c r="C11">
        <f t="shared" si="0"/>
        <v>870000</v>
      </c>
    </row>
    <row r="12" spans="1:3" x14ac:dyDescent="0.35">
      <c r="A12">
        <v>11</v>
      </c>
      <c r="B12">
        <f t="shared" ref="B12:B13" si="2">$B$2 *0.27</f>
        <v>8100.0000000000009</v>
      </c>
      <c r="C12">
        <f t="shared" si="0"/>
        <v>810000.00000000012</v>
      </c>
    </row>
    <row r="13" spans="1:3" x14ac:dyDescent="0.35">
      <c r="A13">
        <v>12</v>
      </c>
      <c r="B13">
        <f t="shared" si="2"/>
        <v>8100.0000000000009</v>
      </c>
      <c r="C13">
        <f t="shared" si="0"/>
        <v>810000.00000000012</v>
      </c>
    </row>
    <row r="14" spans="1:3" x14ac:dyDescent="0.35">
      <c r="C14">
        <f>SUM(C2:C13)</f>
        <v>13830000</v>
      </c>
    </row>
    <row r="16" spans="1:3" x14ac:dyDescent="0.35">
      <c r="B16" t="s">
        <v>107</v>
      </c>
      <c r="C16">
        <v>3120000</v>
      </c>
    </row>
    <row r="17" spans="2:3" x14ac:dyDescent="0.35">
      <c r="B17" t="s">
        <v>108</v>
      </c>
      <c r="C17">
        <v>0.15</v>
      </c>
    </row>
    <row r="18" spans="2:3" x14ac:dyDescent="0.35">
      <c r="C18">
        <f>(C14 - C16)*C17</f>
        <v>1606500</v>
      </c>
    </row>
    <row r="19" spans="2:3" x14ac:dyDescent="0.35">
      <c r="B19" t="s">
        <v>109</v>
      </c>
      <c r="C19">
        <f>C14-C16-C18</f>
        <v>9103500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559-AECD-4ADA-954C-62616491DA4B}">
  <dimension ref="A1:B14"/>
  <sheetViews>
    <sheetView workbookViewId="0">
      <selection activeCell="D12" sqref="D12"/>
    </sheetView>
  </sheetViews>
  <sheetFormatPr defaultRowHeight="14.5" x14ac:dyDescent="0.35"/>
  <sheetData>
    <row r="1" spans="1:2" x14ac:dyDescent="0.35">
      <c r="A1" t="s">
        <v>106</v>
      </c>
      <c r="B1" t="s">
        <v>104</v>
      </c>
    </row>
    <row r="2" spans="1:2" x14ac:dyDescent="0.35">
      <c r="A2">
        <v>1</v>
      </c>
      <c r="B2">
        <v>500</v>
      </c>
    </row>
    <row r="3" spans="1:2" x14ac:dyDescent="0.35">
      <c r="A3">
        <v>2</v>
      </c>
      <c r="B3">
        <v>1000</v>
      </c>
    </row>
    <row r="4" spans="1:2" x14ac:dyDescent="0.35">
      <c r="A4">
        <v>3</v>
      </c>
      <c r="B4">
        <v>1300</v>
      </c>
    </row>
    <row r="5" spans="1:2" x14ac:dyDescent="0.35">
      <c r="A5">
        <v>4</v>
      </c>
      <c r="B5">
        <v>1700</v>
      </c>
    </row>
    <row r="6" spans="1:2" x14ac:dyDescent="0.35">
      <c r="A6">
        <v>5</v>
      </c>
      <c r="B6">
        <v>2000</v>
      </c>
    </row>
    <row r="7" spans="1:2" x14ac:dyDescent="0.35">
      <c r="A7">
        <v>6</v>
      </c>
      <c r="B7">
        <v>2100</v>
      </c>
    </row>
    <row r="8" spans="1:2" x14ac:dyDescent="0.35">
      <c r="A8">
        <v>7</v>
      </c>
      <c r="B8">
        <v>2500</v>
      </c>
    </row>
    <row r="9" spans="1:2" x14ac:dyDescent="0.35">
      <c r="A9">
        <v>8</v>
      </c>
      <c r="B9">
        <v>3000</v>
      </c>
    </row>
    <row r="10" spans="1:2" x14ac:dyDescent="0.35">
      <c r="A10">
        <v>9</v>
      </c>
      <c r="B10">
        <v>3500</v>
      </c>
    </row>
    <row r="11" spans="1:2" x14ac:dyDescent="0.35">
      <c r="A11">
        <v>10</v>
      </c>
      <c r="B11">
        <v>4500</v>
      </c>
    </row>
    <row r="12" spans="1:2" x14ac:dyDescent="0.35">
      <c r="A12">
        <v>11</v>
      </c>
      <c r="B12">
        <v>5000</v>
      </c>
    </row>
    <row r="13" spans="1:2" x14ac:dyDescent="0.35">
      <c r="A13">
        <v>12</v>
      </c>
      <c r="B13">
        <v>7000</v>
      </c>
    </row>
    <row r="14" spans="1:2" x14ac:dyDescent="0.35">
      <c r="A14" t="s">
        <v>110</v>
      </c>
      <c r="B14">
        <f>SUM(B2:B13)</f>
        <v>34100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M3" sqref="M3"/>
    </sheetView>
  </sheetViews>
  <sheetFormatPr defaultRowHeight="14.5" x14ac:dyDescent="0.35"/>
  <sheetData>
    <row r="1" spans="1:3" ht="35.5" thickBot="1" x14ac:dyDescent="0.4">
      <c r="A1" s="14" t="s">
        <v>93</v>
      </c>
      <c r="B1" s="14" t="s">
        <v>94</v>
      </c>
      <c r="C1" s="14" t="s">
        <v>95</v>
      </c>
    </row>
    <row r="2" spans="1:3" ht="70.5" thickBot="1" x14ac:dyDescent="0.4">
      <c r="A2" s="15" t="s">
        <v>96</v>
      </c>
      <c r="B2" s="15" t="s">
        <v>97</v>
      </c>
      <c r="C2" s="16">
        <v>0.5</v>
      </c>
    </row>
    <row r="3" spans="1:3" ht="88" thickBot="1" x14ac:dyDescent="0.4">
      <c r="A3" s="15" t="s">
        <v>98</v>
      </c>
      <c r="B3" s="15" t="s">
        <v>99</v>
      </c>
      <c r="C3" s="16">
        <v>0.3</v>
      </c>
    </row>
    <row r="4" spans="1:3" ht="70.5" thickBot="1" x14ac:dyDescent="0.4">
      <c r="A4" s="15" t="s">
        <v>100</v>
      </c>
      <c r="B4" s="15" t="s">
        <v>101</v>
      </c>
      <c r="C4" s="16">
        <v>0.15</v>
      </c>
    </row>
    <row r="5" spans="1:3" ht="88" thickBot="1" x14ac:dyDescent="0.4">
      <c r="A5" s="15" t="s">
        <v>102</v>
      </c>
      <c r="B5" s="15" t="s">
        <v>103</v>
      </c>
      <c r="C5" s="16">
        <v>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topLeftCell="A10" zoomScaleNormal="100" workbookViewId="0">
      <selection activeCell="I28" sqref="I28"/>
    </sheetView>
  </sheetViews>
  <sheetFormatPr defaultRowHeight="14.5" x14ac:dyDescent="0.35"/>
  <cols>
    <col min="2" max="2" width="9" customWidth="1"/>
    <col min="3" max="3" width="10.453125" customWidth="1"/>
  </cols>
  <sheetData>
    <row r="1" spans="1:12" ht="21.75" customHeight="1" x14ac:dyDescent="0.35">
      <c r="A1" s="1" t="s">
        <v>68</v>
      </c>
      <c r="B1" s="1" t="s">
        <v>69</v>
      </c>
      <c r="D1" t="s">
        <v>70</v>
      </c>
      <c r="E1" t="s">
        <v>71</v>
      </c>
      <c r="F1" t="s">
        <v>73</v>
      </c>
      <c r="H1" s="1" t="s">
        <v>68</v>
      </c>
      <c r="I1" s="1" t="s">
        <v>69</v>
      </c>
      <c r="J1" s="1"/>
      <c r="K1" s="1" t="s">
        <v>70</v>
      </c>
      <c r="L1" s="1" t="s">
        <v>71</v>
      </c>
    </row>
    <row r="2" spans="1:12" ht="21.75" customHeight="1" x14ac:dyDescent="0.35">
      <c r="A2" s="11" t="s">
        <v>34</v>
      </c>
      <c r="B2" s="11" t="s">
        <v>35</v>
      </c>
      <c r="C2" s="4">
        <v>5</v>
      </c>
      <c r="D2" s="5" t="s">
        <v>66</v>
      </c>
      <c r="E2" s="5">
        <v>4</v>
      </c>
      <c r="F2" s="3"/>
      <c r="H2" s="11" t="s">
        <v>34</v>
      </c>
      <c r="I2" s="11" t="s">
        <v>35</v>
      </c>
      <c r="J2" s="1"/>
      <c r="K2" s="12" t="s">
        <v>66</v>
      </c>
      <c r="L2" s="12">
        <v>4</v>
      </c>
    </row>
    <row r="3" spans="1:12" ht="23.25" customHeight="1" x14ac:dyDescent="0.35">
      <c r="A3" s="11" t="s">
        <v>34</v>
      </c>
      <c r="B3" s="11" t="s">
        <v>36</v>
      </c>
      <c r="C3" s="4">
        <v>3</v>
      </c>
      <c r="D3" s="5" t="s">
        <v>67</v>
      </c>
      <c r="E3" s="5">
        <v>3</v>
      </c>
      <c r="F3" s="3"/>
      <c r="H3" s="11" t="s">
        <v>34</v>
      </c>
      <c r="I3" s="11" t="s">
        <v>36</v>
      </c>
      <c r="J3" s="1"/>
      <c r="K3" s="12" t="s">
        <v>67</v>
      </c>
      <c r="L3" s="12">
        <v>3</v>
      </c>
    </row>
    <row r="4" spans="1:12" ht="21.75" customHeight="1" x14ac:dyDescent="0.35">
      <c r="A4" s="11" t="s">
        <v>34</v>
      </c>
      <c r="B4" s="11" t="s">
        <v>37</v>
      </c>
      <c r="C4" s="4">
        <v>2</v>
      </c>
      <c r="D4" s="5" t="s">
        <v>67</v>
      </c>
      <c r="E4" s="5">
        <v>3</v>
      </c>
      <c r="F4" s="3"/>
      <c r="H4" s="11" t="s">
        <v>34</v>
      </c>
      <c r="I4" s="11" t="s">
        <v>37</v>
      </c>
      <c r="J4" s="1"/>
      <c r="K4" s="12" t="s">
        <v>67</v>
      </c>
      <c r="L4" s="12">
        <v>3</v>
      </c>
    </row>
    <row r="5" spans="1:12" ht="21.75" customHeight="1" x14ac:dyDescent="0.35">
      <c r="A5" s="11" t="s">
        <v>34</v>
      </c>
      <c r="B5" s="11" t="s">
        <v>38</v>
      </c>
      <c r="C5" s="4">
        <v>3</v>
      </c>
      <c r="D5" s="5" t="s">
        <v>67</v>
      </c>
      <c r="E5" s="5">
        <v>3</v>
      </c>
      <c r="F5" s="3"/>
      <c r="H5" s="11" t="s">
        <v>34</v>
      </c>
      <c r="I5" s="11" t="s">
        <v>38</v>
      </c>
      <c r="J5" s="1"/>
      <c r="K5" s="12" t="s">
        <v>67</v>
      </c>
      <c r="L5" s="12">
        <v>3</v>
      </c>
    </row>
    <row r="6" spans="1:12" ht="20.25" customHeight="1" x14ac:dyDescent="0.35">
      <c r="A6" s="11" t="s">
        <v>34</v>
      </c>
      <c r="B6" s="11" t="s">
        <v>39</v>
      </c>
      <c r="C6" s="4">
        <v>6</v>
      </c>
      <c r="D6" s="5" t="s">
        <v>66</v>
      </c>
      <c r="E6" s="5">
        <v>4</v>
      </c>
      <c r="F6" s="3"/>
      <c r="H6" s="11" t="s">
        <v>34</v>
      </c>
      <c r="I6" s="11" t="s">
        <v>39</v>
      </c>
      <c r="J6" s="1"/>
      <c r="K6" s="12" t="s">
        <v>66</v>
      </c>
      <c r="L6" s="12">
        <v>4</v>
      </c>
    </row>
    <row r="7" spans="1:12" ht="24" customHeight="1" x14ac:dyDescent="0.35">
      <c r="A7" s="11" t="s">
        <v>34</v>
      </c>
      <c r="B7" s="11" t="s">
        <v>47</v>
      </c>
      <c r="C7" s="4">
        <v>3</v>
      </c>
      <c r="D7" s="5" t="s">
        <v>67</v>
      </c>
      <c r="E7" s="5">
        <v>3</v>
      </c>
      <c r="F7" s="3"/>
      <c r="H7" s="11" t="s">
        <v>34</v>
      </c>
      <c r="I7" s="11" t="s">
        <v>47</v>
      </c>
      <c r="J7" s="1"/>
      <c r="K7" s="12" t="s">
        <v>67</v>
      </c>
      <c r="L7" s="12">
        <v>3</v>
      </c>
    </row>
    <row r="8" spans="1:12" ht="19.5" customHeight="1" x14ac:dyDescent="0.35">
      <c r="A8" s="11" t="s">
        <v>34</v>
      </c>
      <c r="B8" s="11" t="s">
        <v>48</v>
      </c>
      <c r="C8" s="4">
        <v>6</v>
      </c>
      <c r="D8" s="5" t="s">
        <v>66</v>
      </c>
      <c r="E8" s="5">
        <v>4</v>
      </c>
      <c r="F8" s="5"/>
      <c r="H8" s="11" t="s">
        <v>34</v>
      </c>
      <c r="I8" s="11" t="s">
        <v>48</v>
      </c>
      <c r="J8" s="1"/>
      <c r="K8" s="12" t="s">
        <v>66</v>
      </c>
      <c r="L8" s="12">
        <v>4</v>
      </c>
    </row>
    <row r="9" spans="1:12" x14ac:dyDescent="0.35">
      <c r="A9" s="11" t="s">
        <v>34</v>
      </c>
      <c r="B9" s="11" t="s">
        <v>49</v>
      </c>
      <c r="C9" s="4">
        <v>1</v>
      </c>
      <c r="D9" s="5" t="s">
        <v>67</v>
      </c>
      <c r="E9" s="5">
        <v>3</v>
      </c>
      <c r="F9" s="5">
        <f>SUM(E2:E9)</f>
        <v>27</v>
      </c>
      <c r="H9" s="11" t="s">
        <v>34</v>
      </c>
      <c r="I9" s="11" t="s">
        <v>49</v>
      </c>
      <c r="J9" s="1"/>
      <c r="K9" s="12" t="s">
        <v>67</v>
      </c>
      <c r="L9" s="12">
        <v>3</v>
      </c>
    </row>
    <row r="10" spans="1:12" x14ac:dyDescent="0.35">
      <c r="A10" s="11" t="s">
        <v>40</v>
      </c>
      <c r="B10" s="11" t="s">
        <v>41</v>
      </c>
      <c r="C10" s="4" t="s">
        <v>58</v>
      </c>
      <c r="D10" s="4" t="s">
        <v>72</v>
      </c>
      <c r="E10" s="4">
        <v>7</v>
      </c>
      <c r="F10" s="4"/>
      <c r="H10" s="11" t="s">
        <v>40</v>
      </c>
      <c r="I10" s="11" t="s">
        <v>41</v>
      </c>
      <c r="J10" s="1"/>
      <c r="K10" s="11" t="s">
        <v>72</v>
      </c>
      <c r="L10" s="11">
        <v>7</v>
      </c>
    </row>
    <row r="11" spans="1:12" x14ac:dyDescent="0.35">
      <c r="A11" s="11" t="s">
        <v>40</v>
      </c>
      <c r="B11" s="11" t="s">
        <v>42</v>
      </c>
      <c r="C11" s="4" t="s">
        <v>59</v>
      </c>
      <c r="D11" s="4" t="s">
        <v>67</v>
      </c>
      <c r="E11" s="4">
        <v>4</v>
      </c>
      <c r="F11" s="4"/>
      <c r="H11" s="11" t="s">
        <v>40</v>
      </c>
      <c r="I11" s="11" t="s">
        <v>42</v>
      </c>
      <c r="J11" s="1"/>
      <c r="K11" s="11" t="s">
        <v>67</v>
      </c>
      <c r="L11" s="11">
        <v>4</v>
      </c>
    </row>
    <row r="12" spans="1:12" x14ac:dyDescent="0.35">
      <c r="A12" s="11" t="s">
        <v>40</v>
      </c>
      <c r="B12" s="11" t="s">
        <v>43</v>
      </c>
      <c r="C12" s="4" t="s">
        <v>60</v>
      </c>
      <c r="D12" s="4" t="s">
        <v>67</v>
      </c>
      <c r="E12" s="4">
        <v>4</v>
      </c>
      <c r="F12" s="4"/>
      <c r="H12" s="11" t="s">
        <v>40</v>
      </c>
      <c r="I12" s="11" t="s">
        <v>43</v>
      </c>
      <c r="J12" s="1"/>
      <c r="K12" s="11" t="s">
        <v>67</v>
      </c>
      <c r="L12" s="11">
        <v>4</v>
      </c>
    </row>
    <row r="13" spans="1:12" x14ac:dyDescent="0.35">
      <c r="A13" s="11" t="s">
        <v>40</v>
      </c>
      <c r="B13" s="11" t="s">
        <v>44</v>
      </c>
      <c r="C13" s="4" t="s">
        <v>61</v>
      </c>
      <c r="D13" s="4" t="s">
        <v>67</v>
      </c>
      <c r="E13" s="4">
        <v>4</v>
      </c>
      <c r="F13" s="4"/>
      <c r="H13" s="11" t="s">
        <v>40</v>
      </c>
      <c r="I13" s="11" t="s">
        <v>44</v>
      </c>
      <c r="J13" s="1"/>
      <c r="K13" s="11" t="s">
        <v>67</v>
      </c>
      <c r="L13" s="11">
        <v>4</v>
      </c>
    </row>
    <row r="14" spans="1:12" x14ac:dyDescent="0.35">
      <c r="A14" s="11" t="s">
        <v>40</v>
      </c>
      <c r="B14" s="11" t="s">
        <v>50</v>
      </c>
      <c r="C14" s="4" t="s">
        <v>58</v>
      </c>
      <c r="D14" s="4" t="s">
        <v>72</v>
      </c>
      <c r="E14" s="4">
        <v>7</v>
      </c>
      <c r="F14" s="5">
        <f>SUM(E10:E14)</f>
        <v>26</v>
      </c>
      <c r="H14" s="11" t="s">
        <v>40</v>
      </c>
      <c r="I14" s="11" t="s">
        <v>50</v>
      </c>
      <c r="J14" s="1"/>
      <c r="K14" s="11" t="s">
        <v>72</v>
      </c>
      <c r="L14" s="11">
        <v>7</v>
      </c>
    </row>
    <row r="15" spans="1:12" x14ac:dyDescent="0.35">
      <c r="A15" s="11" t="s">
        <v>45</v>
      </c>
      <c r="B15" s="11" t="s">
        <v>53</v>
      </c>
      <c r="C15" s="4" t="s">
        <v>62</v>
      </c>
      <c r="D15" s="4" t="s">
        <v>67</v>
      </c>
      <c r="E15" s="4">
        <v>7</v>
      </c>
      <c r="F15" s="4"/>
      <c r="H15" s="11" t="s">
        <v>45</v>
      </c>
      <c r="I15" s="11" t="s">
        <v>53</v>
      </c>
      <c r="J15" s="1"/>
      <c r="K15" s="11" t="s">
        <v>67</v>
      </c>
      <c r="L15" s="11">
        <v>7</v>
      </c>
    </row>
    <row r="16" spans="1:12" x14ac:dyDescent="0.35">
      <c r="A16" s="11" t="s">
        <v>45</v>
      </c>
      <c r="B16" s="11" t="s">
        <v>51</v>
      </c>
      <c r="C16" s="4" t="s">
        <v>63</v>
      </c>
      <c r="D16" s="4" t="s">
        <v>67</v>
      </c>
      <c r="E16" s="4">
        <v>7</v>
      </c>
      <c r="F16" s="4"/>
      <c r="H16" s="11" t="s">
        <v>45</v>
      </c>
      <c r="I16" s="11" t="s">
        <v>51</v>
      </c>
      <c r="J16" s="1"/>
      <c r="K16" s="11" t="s">
        <v>67</v>
      </c>
      <c r="L16" s="11">
        <v>7</v>
      </c>
    </row>
    <row r="17" spans="1:12" x14ac:dyDescent="0.35">
      <c r="A17" s="11" t="s">
        <v>45</v>
      </c>
      <c r="B17" s="11" t="s">
        <v>46</v>
      </c>
      <c r="C17" s="4" t="s">
        <v>64</v>
      </c>
      <c r="D17" s="4" t="s">
        <v>66</v>
      </c>
      <c r="E17" s="4">
        <v>10</v>
      </c>
      <c r="F17" s="4"/>
      <c r="H17" s="11" t="s">
        <v>45</v>
      </c>
      <c r="I17" s="11" t="s">
        <v>46</v>
      </c>
      <c r="J17" s="1"/>
      <c r="K17" s="11" t="s">
        <v>66</v>
      </c>
      <c r="L17" s="11">
        <v>10</v>
      </c>
    </row>
    <row r="18" spans="1:12" x14ac:dyDescent="0.35">
      <c r="A18" s="11" t="s">
        <v>45</v>
      </c>
      <c r="B18" s="11" t="s">
        <v>52</v>
      </c>
      <c r="C18" s="4" t="s">
        <v>65</v>
      </c>
      <c r="D18" s="4" t="s">
        <v>67</v>
      </c>
      <c r="E18" s="4">
        <v>7</v>
      </c>
      <c r="F18" s="5">
        <f>SUM(E15:E18)</f>
        <v>31</v>
      </c>
      <c r="H18" s="11" t="s">
        <v>45</v>
      </c>
      <c r="I18" s="11" t="s">
        <v>52</v>
      </c>
      <c r="J18" s="1"/>
      <c r="K18" s="11" t="s">
        <v>67</v>
      </c>
      <c r="L18" s="11">
        <v>7</v>
      </c>
    </row>
    <row r="19" spans="1:12" x14ac:dyDescent="0.35">
      <c r="A19" s="11" t="s">
        <v>54</v>
      </c>
      <c r="B19" s="11" t="s">
        <v>55</v>
      </c>
      <c r="C19" s="4"/>
      <c r="D19" s="4" t="s">
        <v>67</v>
      </c>
      <c r="E19" s="4">
        <v>5</v>
      </c>
      <c r="F19" s="4"/>
      <c r="H19" s="11" t="s">
        <v>54</v>
      </c>
      <c r="I19" s="11" t="s">
        <v>55</v>
      </c>
      <c r="J19" s="1"/>
      <c r="K19" s="11" t="s">
        <v>67</v>
      </c>
      <c r="L19" s="11">
        <v>5</v>
      </c>
    </row>
    <row r="20" spans="1:12" x14ac:dyDescent="0.35">
      <c r="A20" s="11" t="s">
        <v>54</v>
      </c>
      <c r="B20" s="11" t="s">
        <v>56</v>
      </c>
      <c r="C20" s="4"/>
      <c r="D20" s="4" t="s">
        <v>67</v>
      </c>
      <c r="E20" s="4">
        <v>5</v>
      </c>
      <c r="F20" s="4"/>
      <c r="H20" s="11" t="s">
        <v>54</v>
      </c>
      <c r="I20" s="11" t="s">
        <v>56</v>
      </c>
      <c r="J20" s="1"/>
      <c r="K20" s="11" t="s">
        <v>67</v>
      </c>
      <c r="L20" s="11">
        <v>5</v>
      </c>
    </row>
    <row r="21" spans="1:12" x14ac:dyDescent="0.35">
      <c r="A21" s="11" t="s">
        <v>54</v>
      </c>
      <c r="B21" s="11" t="s">
        <v>57</v>
      </c>
      <c r="C21" s="4"/>
      <c r="D21" s="4" t="s">
        <v>66</v>
      </c>
      <c r="E21" s="4">
        <v>7</v>
      </c>
      <c r="F21" s="5">
        <f>SUM(E19:E21)</f>
        <v>17</v>
      </c>
      <c r="H21" s="11" t="s">
        <v>54</v>
      </c>
      <c r="I21" s="11" t="s">
        <v>57</v>
      </c>
      <c r="J21" s="1"/>
      <c r="K21" s="11" t="s">
        <v>66</v>
      </c>
      <c r="L21" s="11">
        <v>7</v>
      </c>
    </row>
    <row r="22" spans="1:12" x14ac:dyDescent="0.35">
      <c r="F22" s="4">
        <f>SUM(F9:F21)</f>
        <v>101</v>
      </c>
    </row>
    <row r="23" spans="1:12" x14ac:dyDescent="0.35">
      <c r="F23" s="4"/>
    </row>
    <row r="24" spans="1:12" x14ac:dyDescent="0.35">
      <c r="A24" s="4" t="s">
        <v>74</v>
      </c>
      <c r="B24" s="4" t="s">
        <v>75</v>
      </c>
      <c r="C24" t="s">
        <v>76</v>
      </c>
      <c r="D24" s="4" t="s">
        <v>92</v>
      </c>
    </row>
    <row r="25" spans="1:12" x14ac:dyDescent="0.35">
      <c r="A25">
        <v>15</v>
      </c>
      <c r="B25">
        <f>F22*A25</f>
        <v>1515</v>
      </c>
      <c r="C25">
        <f>B25/8</f>
        <v>189.375</v>
      </c>
      <c r="D25">
        <f>C25/30</f>
        <v>6.3125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A11" sqref="A11"/>
    </sheetView>
  </sheetViews>
  <sheetFormatPr defaultRowHeight="14.5" x14ac:dyDescent="0.35"/>
  <sheetData>
    <row r="1" spans="1:8" x14ac:dyDescent="0.35">
      <c r="A1" t="s">
        <v>79</v>
      </c>
      <c r="C1">
        <f>H1*H3^H2</f>
        <v>18.195653567589456</v>
      </c>
      <c r="G1" t="s">
        <v>77</v>
      </c>
      <c r="H1">
        <v>3</v>
      </c>
    </row>
    <row r="2" spans="1:8" x14ac:dyDescent="0.35">
      <c r="G2" t="s">
        <v>78</v>
      </c>
      <c r="H2" s="6">
        <v>1.1200000000000001</v>
      </c>
    </row>
    <row r="3" spans="1:8" x14ac:dyDescent="0.35">
      <c r="G3" t="s">
        <v>80</v>
      </c>
      <c r="H3">
        <v>5</v>
      </c>
    </row>
    <row r="4" spans="1:8" x14ac:dyDescent="0.35">
      <c r="A4" s="1" t="s">
        <v>81</v>
      </c>
      <c r="B4" s="13">
        <v>1.1000000000000001</v>
      </c>
      <c r="C4" s="1" t="s">
        <v>82</v>
      </c>
    </row>
    <row r="5" spans="1:8" x14ac:dyDescent="0.35">
      <c r="A5" s="1" t="s">
        <v>83</v>
      </c>
      <c r="B5" s="13">
        <v>0.9</v>
      </c>
      <c r="C5" s="1" t="s">
        <v>84</v>
      </c>
    </row>
    <row r="6" spans="1:8" x14ac:dyDescent="0.35">
      <c r="A6" s="1" t="s">
        <v>85</v>
      </c>
      <c r="B6" s="13">
        <v>0.85</v>
      </c>
      <c r="C6" s="1" t="s">
        <v>86</v>
      </c>
    </row>
    <row r="7" spans="1:8" x14ac:dyDescent="0.35">
      <c r="A7" s="1" t="s">
        <v>87</v>
      </c>
      <c r="B7" s="13">
        <v>1</v>
      </c>
      <c r="C7" s="1" t="s">
        <v>88</v>
      </c>
    </row>
    <row r="8" spans="1:8" x14ac:dyDescent="0.35">
      <c r="A8" s="1" t="s">
        <v>89</v>
      </c>
      <c r="B8" s="1">
        <f>B4*B5*B6*B7</f>
        <v>0.84150000000000003</v>
      </c>
      <c r="C8" s="1"/>
    </row>
    <row r="10" spans="1:8" x14ac:dyDescent="0.35">
      <c r="A10" t="s">
        <v>90</v>
      </c>
      <c r="B10">
        <f>C1*B8</f>
        <v>15.311642477126528</v>
      </c>
    </row>
    <row r="11" spans="1:8" x14ac:dyDescent="0.35">
      <c r="A11" t="s">
        <v>91</v>
      </c>
      <c r="B11">
        <f>B10*152</f>
        <v>2327.3696565232322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G13" sqref="G13:K22"/>
    </sheetView>
  </sheetViews>
  <sheetFormatPr defaultRowHeight="14.5" x14ac:dyDescent="0.35"/>
  <cols>
    <col min="4" max="7" width="10.1796875" bestFit="1" customWidth="1"/>
  </cols>
  <sheetData>
    <row r="1" spans="1:1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1" x14ac:dyDescent="0.35">
      <c r="A2" s="1">
        <v>0</v>
      </c>
      <c r="B2" s="1" t="s">
        <v>19</v>
      </c>
      <c r="C2" s="1"/>
      <c r="D2" s="1"/>
      <c r="E2" s="1"/>
      <c r="F2" s="1"/>
      <c r="G2" s="1"/>
      <c r="H2" s="1"/>
      <c r="I2" s="1"/>
      <c r="J2" s="1"/>
    </row>
    <row r="3" spans="1:11" x14ac:dyDescent="0.35">
      <c r="A3" s="1">
        <v>1</v>
      </c>
      <c r="B3" s="1" t="s">
        <v>20</v>
      </c>
      <c r="C3" s="1">
        <v>0</v>
      </c>
      <c r="D3" s="2">
        <v>46023</v>
      </c>
      <c r="E3" s="2">
        <v>46082</v>
      </c>
      <c r="F3" s="2">
        <v>46037</v>
      </c>
      <c r="G3" s="2">
        <f>F3+(E3-D3)</f>
        <v>46096</v>
      </c>
      <c r="H3" s="1">
        <f>F3-D3</f>
        <v>14</v>
      </c>
      <c r="I3" s="1">
        <f>D4-E3</f>
        <v>19</v>
      </c>
      <c r="J3" s="1">
        <f>E3-D3</f>
        <v>59</v>
      </c>
    </row>
    <row r="4" spans="1:11" x14ac:dyDescent="0.35">
      <c r="A4" s="1">
        <v>2</v>
      </c>
      <c r="B4" s="1" t="s">
        <v>22</v>
      </c>
      <c r="C4" s="1">
        <v>1</v>
      </c>
      <c r="D4" s="2">
        <v>46101</v>
      </c>
      <c r="E4" s="2">
        <v>46143</v>
      </c>
      <c r="F4" s="2">
        <v>46113</v>
      </c>
      <c r="G4" s="2">
        <f t="shared" ref="G4:G10" si="0">F4+(E4-D4)</f>
        <v>46155</v>
      </c>
      <c r="H4" s="1">
        <f t="shared" ref="H4:H10" si="1">F4-D4</f>
        <v>12</v>
      </c>
      <c r="I4" s="1">
        <f>D5-E4</f>
        <v>19</v>
      </c>
      <c r="J4" s="1">
        <f t="shared" ref="J4:J10" si="2">E4-D4</f>
        <v>42</v>
      </c>
    </row>
    <row r="5" spans="1:11" x14ac:dyDescent="0.35">
      <c r="A5" s="1">
        <v>3</v>
      </c>
      <c r="B5" s="1" t="s">
        <v>21</v>
      </c>
      <c r="C5" s="1">
        <v>2</v>
      </c>
      <c r="D5" s="2">
        <v>46162</v>
      </c>
      <c r="E5" s="2">
        <v>46183</v>
      </c>
      <c r="F5" s="2">
        <v>46174</v>
      </c>
      <c r="G5" s="2">
        <f t="shared" si="0"/>
        <v>46195</v>
      </c>
      <c r="H5" s="1">
        <f>F5-D5</f>
        <v>12</v>
      </c>
      <c r="I5" s="1">
        <f t="shared" ref="I5:I9" si="3">D6-E5</f>
        <v>20</v>
      </c>
      <c r="J5" s="1">
        <f>E5-D5</f>
        <v>21</v>
      </c>
    </row>
    <row r="6" spans="1:11" x14ac:dyDescent="0.35">
      <c r="A6" s="1">
        <v>4</v>
      </c>
      <c r="B6" s="1" t="s">
        <v>23</v>
      </c>
      <c r="C6" s="1">
        <v>3</v>
      </c>
      <c r="D6" s="2">
        <v>46203</v>
      </c>
      <c r="E6" s="2">
        <v>46296</v>
      </c>
      <c r="F6" s="2">
        <v>46203</v>
      </c>
      <c r="G6" s="2">
        <f t="shared" si="0"/>
        <v>46296</v>
      </c>
      <c r="H6" s="1">
        <f t="shared" si="1"/>
        <v>0</v>
      </c>
      <c r="I6" s="1">
        <f t="shared" si="3"/>
        <v>4</v>
      </c>
      <c r="J6" s="1">
        <f>E6-D6</f>
        <v>93</v>
      </c>
    </row>
    <row r="7" spans="1:11" x14ac:dyDescent="0.35">
      <c r="A7" s="1">
        <v>5</v>
      </c>
      <c r="B7" s="1" t="s">
        <v>24</v>
      </c>
      <c r="C7" s="1">
        <v>4</v>
      </c>
      <c r="D7" s="2">
        <v>46300</v>
      </c>
      <c r="E7" s="2">
        <v>46331</v>
      </c>
      <c r="F7" s="2">
        <v>46305</v>
      </c>
      <c r="G7" s="2">
        <f t="shared" si="0"/>
        <v>46336</v>
      </c>
      <c r="H7" s="1">
        <f t="shared" si="1"/>
        <v>5</v>
      </c>
      <c r="I7" s="1">
        <f t="shared" si="3"/>
        <v>5</v>
      </c>
      <c r="J7" s="1">
        <f t="shared" si="2"/>
        <v>31</v>
      </c>
    </row>
    <row r="8" spans="1:11" x14ac:dyDescent="0.35">
      <c r="A8" s="1">
        <v>6</v>
      </c>
      <c r="B8" s="1" t="s">
        <v>25</v>
      </c>
      <c r="C8" s="1">
        <v>5</v>
      </c>
      <c r="D8" s="2">
        <v>46336</v>
      </c>
      <c r="E8" s="2">
        <v>46366</v>
      </c>
      <c r="F8" s="2">
        <v>46341</v>
      </c>
      <c r="G8" s="2">
        <f t="shared" si="0"/>
        <v>46371</v>
      </c>
      <c r="H8" s="1">
        <f t="shared" si="1"/>
        <v>5</v>
      </c>
      <c r="I8" s="1">
        <f t="shared" si="3"/>
        <v>5</v>
      </c>
      <c r="J8" s="1">
        <f t="shared" si="2"/>
        <v>30</v>
      </c>
    </row>
    <row r="9" spans="1:11" x14ac:dyDescent="0.35">
      <c r="A9" s="1">
        <v>7</v>
      </c>
      <c r="B9" s="1" t="s">
        <v>26</v>
      </c>
      <c r="C9" s="1">
        <v>6</v>
      </c>
      <c r="D9" s="2">
        <v>46371</v>
      </c>
      <c r="E9" s="2">
        <v>46376</v>
      </c>
      <c r="F9" s="2">
        <v>46376</v>
      </c>
      <c r="G9" s="2">
        <f t="shared" si="0"/>
        <v>46381</v>
      </c>
      <c r="H9" s="1">
        <f t="shared" si="1"/>
        <v>5</v>
      </c>
      <c r="I9" s="1">
        <f t="shared" si="3"/>
        <v>5</v>
      </c>
      <c r="J9" s="1">
        <f t="shared" si="2"/>
        <v>5</v>
      </c>
    </row>
    <row r="10" spans="1:11" x14ac:dyDescent="0.35">
      <c r="A10" s="1">
        <v>8</v>
      </c>
      <c r="B10" s="1" t="s">
        <v>27</v>
      </c>
      <c r="C10" s="1">
        <v>7</v>
      </c>
      <c r="D10" s="2">
        <v>46381</v>
      </c>
      <c r="E10" s="2">
        <v>46385</v>
      </c>
      <c r="F10" s="2">
        <v>46382</v>
      </c>
      <c r="G10" s="2">
        <f t="shared" si="0"/>
        <v>46386</v>
      </c>
      <c r="H10" s="1">
        <f t="shared" si="1"/>
        <v>1</v>
      </c>
      <c r="I10" s="1">
        <v>0</v>
      </c>
      <c r="J10" s="1">
        <f t="shared" si="2"/>
        <v>4</v>
      </c>
    </row>
    <row r="13" spans="1:11" x14ac:dyDescent="0.35"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</row>
    <row r="14" spans="1:11" x14ac:dyDescent="0.35">
      <c r="G14" s="1" t="s">
        <v>20</v>
      </c>
      <c r="H14" s="1">
        <v>40</v>
      </c>
      <c r="I14" s="1">
        <v>50</v>
      </c>
      <c r="J14" s="1">
        <v>60</v>
      </c>
      <c r="K14" s="1">
        <f>(H14+4*I14+J14)/6</f>
        <v>50</v>
      </c>
    </row>
    <row r="15" spans="1:11" x14ac:dyDescent="0.35">
      <c r="G15" s="1" t="s">
        <v>22</v>
      </c>
      <c r="H15" s="1">
        <v>30</v>
      </c>
      <c r="I15" s="1">
        <v>45</v>
      </c>
      <c r="J15" s="1">
        <v>55</v>
      </c>
      <c r="K15" s="1">
        <f t="shared" ref="K15:K21" si="4">(H15+4*I15+J15)/6</f>
        <v>44.166666666666664</v>
      </c>
    </row>
    <row r="16" spans="1:11" x14ac:dyDescent="0.35">
      <c r="G16" s="1" t="s">
        <v>21</v>
      </c>
      <c r="H16" s="1">
        <v>15</v>
      </c>
      <c r="I16" s="1">
        <v>20</v>
      </c>
      <c r="J16" s="1">
        <v>25</v>
      </c>
      <c r="K16" s="1">
        <f t="shared" si="4"/>
        <v>20</v>
      </c>
    </row>
    <row r="17" spans="7:11" x14ac:dyDescent="0.35">
      <c r="G17" s="1" t="s">
        <v>23</v>
      </c>
      <c r="H17" s="1">
        <v>30</v>
      </c>
      <c r="I17" s="1">
        <v>40</v>
      </c>
      <c r="J17" s="1">
        <v>70</v>
      </c>
      <c r="K17" s="1">
        <f t="shared" si="4"/>
        <v>43.333333333333336</v>
      </c>
    </row>
    <row r="18" spans="7:11" x14ac:dyDescent="0.35">
      <c r="G18" s="1" t="s">
        <v>24</v>
      </c>
      <c r="H18" s="1">
        <v>15</v>
      </c>
      <c r="I18" s="1">
        <v>30</v>
      </c>
      <c r="J18" s="1">
        <v>40</v>
      </c>
      <c r="K18" s="1">
        <f t="shared" si="4"/>
        <v>29.166666666666668</v>
      </c>
    </row>
    <row r="19" spans="7:11" x14ac:dyDescent="0.35">
      <c r="G19" s="1" t="s">
        <v>25</v>
      </c>
      <c r="H19" s="1">
        <v>15</v>
      </c>
      <c r="I19" s="1">
        <v>30</v>
      </c>
      <c r="J19" s="1">
        <v>40</v>
      </c>
      <c r="K19" s="1">
        <f t="shared" si="4"/>
        <v>29.166666666666668</v>
      </c>
    </row>
    <row r="20" spans="7:11" x14ac:dyDescent="0.35">
      <c r="G20" s="1" t="s">
        <v>26</v>
      </c>
      <c r="H20" s="1">
        <v>3</v>
      </c>
      <c r="I20" s="1">
        <v>5</v>
      </c>
      <c r="J20" s="1">
        <v>10</v>
      </c>
      <c r="K20" s="1">
        <f t="shared" si="4"/>
        <v>5.5</v>
      </c>
    </row>
    <row r="21" spans="7:11" x14ac:dyDescent="0.35">
      <c r="G21" s="1" t="s">
        <v>27</v>
      </c>
      <c r="H21" s="1">
        <v>2</v>
      </c>
      <c r="I21" s="1">
        <v>4</v>
      </c>
      <c r="J21" s="1">
        <v>7</v>
      </c>
      <c r="K21" s="1">
        <f t="shared" si="4"/>
        <v>4.166666666666667</v>
      </c>
    </row>
    <row r="22" spans="7:11" x14ac:dyDescent="0.35">
      <c r="G22" s="7" t="s">
        <v>33</v>
      </c>
      <c r="H22" s="1"/>
      <c r="I22" s="1"/>
      <c r="J22" s="1"/>
      <c r="K22" s="8">
        <f>SUM(K14:K21)</f>
        <v>225.49999999999997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Лист3</vt:lpstr>
      <vt:lpstr>Лист4</vt:lpstr>
      <vt:lpstr>Лист2</vt:lpstr>
      <vt:lpstr>функциональные точки</vt:lpstr>
      <vt:lpstr>COCOMO II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2025-04-09T08:11:05Z</dcterms:modified>
</cp:coreProperties>
</file>