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 activeTab="1"/>
  </bookViews>
  <sheets>
    <sheet name="Лист1" sheetId="1" r:id="rId1"/>
    <sheet name="Лист2" sheetId="2" r:id="rId2"/>
  </sheets>
  <definedNames>
    <definedName name="solver_eng" localSheetId="1" hidden="1">1</definedName>
    <definedName name="solver_neg" localSheetId="1" hidden="1">1</definedName>
    <definedName name="solver_num" localSheetId="1" hidden="1">0</definedName>
    <definedName name="solver_opt" localSheetId="1" hidden="1">Лист2!$I$34</definedName>
    <definedName name="solver_typ" localSheetId="1" hidden="1">1</definedName>
    <definedName name="solver_val" localSheetId="1" hidden="1">0</definedName>
    <definedName name="solver_ver" localSheetId="1" hidden="1">3</definedName>
  </definedNames>
  <calcPr calcId="152511"/>
</workbook>
</file>

<file path=xl/calcChain.xml><?xml version="1.0" encoding="utf-8"?>
<calcChain xmlns="http://schemas.openxmlformats.org/spreadsheetml/2006/main">
  <c r="U39" i="1" l="1"/>
  <c r="Y36" i="1"/>
  <c r="AC10" i="1"/>
  <c r="X27" i="1"/>
  <c r="Y32" i="1"/>
  <c r="W32" i="1"/>
  <c r="X32" i="1"/>
  <c r="M67" i="2"/>
  <c r="M68" i="2"/>
  <c r="M66" i="2"/>
  <c r="J67" i="2" l="1"/>
  <c r="J68" i="2"/>
  <c r="J66" i="2"/>
  <c r="J65" i="2"/>
  <c r="J60" i="2"/>
  <c r="J59" i="2"/>
  <c r="J62" i="2"/>
  <c r="J61" i="2"/>
  <c r="J56" i="2"/>
  <c r="AW30" i="2" l="1"/>
  <c r="AW31" i="2" s="1"/>
  <c r="AW29" i="2"/>
  <c r="AW23" i="2" a="1"/>
  <c r="AW23" i="2" s="1"/>
  <c r="AS30" i="2"/>
  <c r="AS31" i="2" s="1"/>
  <c r="AS29" i="2"/>
  <c r="AS23" i="2" a="1"/>
  <c r="AS23" i="2" s="1"/>
  <c r="AO30" i="2"/>
  <c r="AO31" i="2" s="1"/>
  <c r="AO29" i="2"/>
  <c r="AO23" i="2" a="1"/>
  <c r="AO23" i="2" s="1"/>
  <c r="AK31" i="2"/>
  <c r="AK30" i="2"/>
  <c r="AK29" i="2"/>
  <c r="AK23" i="2" a="1"/>
  <c r="AK24" i="2" s="1"/>
  <c r="AG30" i="2"/>
  <c r="AG31" i="2" s="1"/>
  <c r="AG29" i="2"/>
  <c r="AG23" i="2" a="1"/>
  <c r="AG23" i="2" s="1"/>
  <c r="AC30" i="2"/>
  <c r="AC31" i="2" s="1"/>
  <c r="AC29" i="2"/>
  <c r="AC23" i="2" a="1"/>
  <c r="AC23" i="2" s="1"/>
  <c r="X30" i="2"/>
  <c r="X31" i="2" s="1"/>
  <c r="X29" i="2"/>
  <c r="X23" i="2" a="1"/>
  <c r="X23" i="2" s="1"/>
  <c r="S30" i="2"/>
  <c r="S31" i="2" s="1"/>
  <c r="S29" i="2"/>
  <c r="S23" i="2" a="1"/>
  <c r="S23" i="2" s="1"/>
  <c r="N31" i="2"/>
  <c r="N30" i="2"/>
  <c r="N29" i="2"/>
  <c r="N23" i="2" a="1"/>
  <c r="N23" i="2" s="1"/>
  <c r="I31" i="2"/>
  <c r="I30" i="2"/>
  <c r="I29" i="2"/>
  <c r="I28" i="2"/>
  <c r="I23" i="2" a="1"/>
  <c r="I23" i="2" s="1"/>
  <c r="E28" i="2"/>
  <c r="D28" i="2"/>
  <c r="D27" i="2"/>
  <c r="C28" i="2"/>
  <c r="C27" i="2"/>
  <c r="C26" i="2"/>
  <c r="B28" i="2"/>
  <c r="B27" i="2"/>
  <c r="B26" i="2"/>
  <c r="B25" i="2"/>
  <c r="AX25" i="2" l="1"/>
  <c r="AY24" i="2"/>
  <c r="AW27" i="2"/>
  <c r="AY26" i="2"/>
  <c r="AW26" i="2"/>
  <c r="AX23" i="2"/>
  <c r="AY27" i="2"/>
  <c r="AW25" i="2"/>
  <c r="AX27" i="2"/>
  <c r="AX24" i="2"/>
  <c r="AW24" i="2"/>
  <c r="AX26" i="2"/>
  <c r="AY23" i="2"/>
  <c r="AY25" i="2"/>
  <c r="AS25" i="2"/>
  <c r="AU24" i="2"/>
  <c r="AU26" i="2"/>
  <c r="AS24" i="2"/>
  <c r="AT26" i="2"/>
  <c r="AU23" i="2"/>
  <c r="AS26" i="2"/>
  <c r="AT23" i="2"/>
  <c r="AT25" i="2"/>
  <c r="AU27" i="2"/>
  <c r="AT27" i="2"/>
  <c r="AS27" i="2"/>
  <c r="AT24" i="2"/>
  <c r="AU25" i="2"/>
  <c r="AO25" i="2"/>
  <c r="AP27" i="2"/>
  <c r="AO27" i="2"/>
  <c r="AO24" i="2"/>
  <c r="AP26" i="2"/>
  <c r="AQ23" i="2"/>
  <c r="AP25" i="2"/>
  <c r="AP24" i="2"/>
  <c r="AQ26" i="2"/>
  <c r="AO26" i="2"/>
  <c r="AP23" i="2"/>
  <c r="AQ27" i="2"/>
  <c r="AQ24" i="2"/>
  <c r="AQ25" i="2"/>
  <c r="AL26" i="2"/>
  <c r="AK26" i="2"/>
  <c r="AM25" i="2"/>
  <c r="AK25" i="2"/>
  <c r="AM24" i="2"/>
  <c r="AK27" i="2"/>
  <c r="AL24" i="2"/>
  <c r="AM23" i="2"/>
  <c r="AL23" i="2"/>
  <c r="AK23" i="2"/>
  <c r="AL25" i="2"/>
  <c r="AM27" i="2"/>
  <c r="AL27" i="2"/>
  <c r="AM26" i="2"/>
  <c r="AH27" i="2"/>
  <c r="AH24" i="2"/>
  <c r="AI26" i="2"/>
  <c r="AH26" i="2"/>
  <c r="AI23" i="2"/>
  <c r="AI27" i="2"/>
  <c r="AH25" i="2"/>
  <c r="AG25" i="2"/>
  <c r="AI24" i="2"/>
  <c r="AG27" i="2"/>
  <c r="AG24" i="2"/>
  <c r="AG26" i="2"/>
  <c r="AH23" i="2"/>
  <c r="AI25" i="2"/>
  <c r="AD25" i="2"/>
  <c r="AE27" i="2"/>
  <c r="AC25" i="2"/>
  <c r="AD27" i="2"/>
  <c r="AE24" i="2"/>
  <c r="AC27" i="2"/>
  <c r="AD24" i="2"/>
  <c r="AE26" i="2"/>
  <c r="AC24" i="2"/>
  <c r="AD26" i="2"/>
  <c r="AE23" i="2"/>
  <c r="AC26" i="2"/>
  <c r="AD23" i="2"/>
  <c r="AE25" i="2"/>
  <c r="AA26" i="2"/>
  <c r="X26" i="2"/>
  <c r="AA24" i="2"/>
  <c r="Z26" i="2"/>
  <c r="Z24" i="2"/>
  <c r="Y26" i="2"/>
  <c r="Y24" i="2"/>
  <c r="X24" i="2"/>
  <c r="AA27" i="2"/>
  <c r="AA25" i="2"/>
  <c r="AA23" i="2"/>
  <c r="Z27" i="2"/>
  <c r="Z25" i="2"/>
  <c r="Z23" i="2"/>
  <c r="Y27" i="2"/>
  <c r="Y25" i="2"/>
  <c r="Y23" i="2"/>
  <c r="X27" i="2"/>
  <c r="X25" i="2"/>
  <c r="U24" i="2"/>
  <c r="V24" i="2"/>
  <c r="T26" i="2"/>
  <c r="V25" i="2"/>
  <c r="V26" i="2"/>
  <c r="U26" i="2"/>
  <c r="T24" i="2"/>
  <c r="S26" i="2"/>
  <c r="S24" i="2"/>
  <c r="V27" i="2"/>
  <c r="V23" i="2"/>
  <c r="U27" i="2"/>
  <c r="U25" i="2"/>
  <c r="U23" i="2"/>
  <c r="T27" i="2"/>
  <c r="T25" i="2"/>
  <c r="T23" i="2"/>
  <c r="S27" i="2"/>
  <c r="S25" i="2"/>
  <c r="P26" i="2"/>
  <c r="O26" i="2"/>
  <c r="N24" i="2"/>
  <c r="P25" i="2"/>
  <c r="Q24" i="2"/>
  <c r="P24" i="2"/>
  <c r="Q27" i="2"/>
  <c r="Q23" i="2"/>
  <c r="O27" i="2"/>
  <c r="O25" i="2"/>
  <c r="O23" i="2"/>
  <c r="Q26" i="2"/>
  <c r="O24" i="2"/>
  <c r="N26" i="2"/>
  <c r="Q25" i="2"/>
  <c r="P27" i="2"/>
  <c r="P23" i="2"/>
  <c r="N27" i="2"/>
  <c r="N25" i="2"/>
  <c r="L26" i="2"/>
  <c r="K26" i="2"/>
  <c r="J24" i="2"/>
  <c r="I26" i="2"/>
  <c r="K23" i="2"/>
  <c r="L24" i="2"/>
  <c r="J26" i="2"/>
  <c r="L27" i="2"/>
  <c r="L23" i="2"/>
  <c r="K25" i="2"/>
  <c r="J27" i="2"/>
  <c r="J25" i="2"/>
  <c r="J23" i="2"/>
  <c r="K24" i="2"/>
  <c r="I24" i="2"/>
  <c r="L25" i="2"/>
  <c r="K27" i="2"/>
  <c r="I27" i="2"/>
  <c r="I25" i="2"/>
  <c r="AC19" i="1"/>
  <c r="V32" i="1" l="1"/>
  <c r="Y28" i="1" l="1"/>
  <c r="Y29" i="1"/>
  <c r="Y30" i="1"/>
  <c r="Y31" i="1"/>
  <c r="V36" i="1"/>
  <c r="Y27" i="1"/>
  <c r="P6" i="1"/>
  <c r="Q10" i="1"/>
  <c r="Q11" i="1"/>
  <c r="Q12" i="1"/>
  <c r="Q13" i="1"/>
  <c r="Q14" i="1"/>
  <c r="Q15" i="1"/>
  <c r="Q16" i="1"/>
  <c r="Q17" i="1"/>
  <c r="Q18" i="1"/>
  <c r="Q19" i="1"/>
  <c r="V21" i="1"/>
  <c r="AA10" i="1" s="1"/>
  <c r="W28" i="1" l="1"/>
  <c r="W29" i="1"/>
  <c r="W30" i="1"/>
  <c r="W31" i="1"/>
  <c r="W27" i="1"/>
  <c r="U27" i="1"/>
  <c r="V27" i="1" s="1"/>
  <c r="U28" i="1" s="1"/>
  <c r="V28" i="1" s="1"/>
  <c r="U29" i="1" s="1"/>
  <c r="V29" i="1" s="1"/>
  <c r="U30" i="1" s="1"/>
  <c r="V30" i="1" s="1"/>
  <c r="U31" i="1" s="1"/>
  <c r="V31" i="1" s="1"/>
  <c r="U32" i="1" s="1"/>
  <c r="AA18" i="1"/>
  <c r="Z18" i="1"/>
  <c r="Z11" i="1"/>
  <c r="AA11" i="1"/>
  <c r="Z12" i="1"/>
  <c r="AA12" i="1"/>
  <c r="Z13" i="1"/>
  <c r="AA13" i="1"/>
  <c r="Z14" i="1"/>
  <c r="AA14" i="1"/>
  <c r="Z15" i="1"/>
  <c r="AA15" i="1"/>
  <c r="Z16" i="1"/>
  <c r="AA16" i="1"/>
  <c r="Z17" i="1"/>
  <c r="AA17" i="1"/>
  <c r="Z19" i="1"/>
  <c r="AA19" i="1"/>
  <c r="Z10" i="1"/>
  <c r="Y11" i="1"/>
  <c r="Y12" i="1"/>
  <c r="Y13" i="1"/>
  <c r="Y14" i="1"/>
  <c r="Y15" i="1"/>
  <c r="Y16" i="1"/>
  <c r="Y17" i="1"/>
  <c r="Y18" i="1"/>
  <c r="Y19" i="1"/>
  <c r="Y10" i="1"/>
  <c r="W11" i="1"/>
  <c r="W12" i="1"/>
  <c r="W13" i="1"/>
  <c r="W14" i="1"/>
  <c r="W15" i="1"/>
  <c r="W16" i="1"/>
  <c r="W17" i="1"/>
  <c r="W18" i="1"/>
  <c r="W19" i="1"/>
  <c r="W10" i="1"/>
  <c r="U10" i="1"/>
  <c r="V6" i="1"/>
  <c r="AB13" i="1" l="1"/>
  <c r="AC13" i="1" s="1"/>
  <c r="X30" i="1" s="1"/>
  <c r="AB17" i="1"/>
  <c r="AC17" i="1" s="1"/>
  <c r="AB15" i="1"/>
  <c r="AC15" i="1" s="1"/>
  <c r="AB11" i="1"/>
  <c r="AC11" i="1" s="1"/>
  <c r="X28" i="1" s="1"/>
  <c r="AB14" i="1"/>
  <c r="AC14" i="1" s="1"/>
  <c r="X31" i="1" s="1"/>
  <c r="AB18" i="1"/>
  <c r="AC18" i="1" s="1"/>
  <c r="AB16" i="1"/>
  <c r="AC16" i="1" s="1"/>
  <c r="AB12" i="1"/>
  <c r="AC12" i="1" s="1"/>
  <c r="X29" i="1" s="1"/>
  <c r="AB10" i="1"/>
  <c r="AB19" i="1"/>
  <c r="N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10" i="1"/>
  <c r="P2" i="1" l="1"/>
  <c r="Q2" i="1" s="1"/>
  <c r="O2" i="1"/>
  <c r="L2" i="1"/>
  <c r="I2" i="1"/>
  <c r="M2" i="1"/>
  <c r="K2" i="1"/>
  <c r="J2" i="1"/>
  <c r="H2" i="1"/>
  <c r="G2" i="1"/>
  <c r="E2" i="1"/>
  <c r="F2" i="1" s="1"/>
  <c r="S6" i="1" s="1"/>
  <c r="D2" i="1"/>
  <c r="C2" i="1"/>
  <c r="V10" i="1" l="1"/>
  <c r="U11" i="1" s="1"/>
  <c r="V11" i="1" s="1"/>
  <c r="U12" i="1" s="1"/>
  <c r="V12" i="1" s="1"/>
  <c r="U13" i="1" s="1"/>
  <c r="V13" i="1" s="1"/>
  <c r="U14" i="1" s="1"/>
  <c r="V14" i="1" s="1"/>
  <c r="U15" i="1" s="1"/>
  <c r="V15" i="1" s="1"/>
  <c r="U16" i="1" s="1"/>
  <c r="V16" i="1" s="1"/>
  <c r="U17" i="1" s="1"/>
  <c r="V17" i="1" s="1"/>
  <c r="U18" i="1" s="1"/>
  <c r="V18" i="1" s="1"/>
  <c r="U19" i="1" s="1"/>
  <c r="V19" i="1" s="1"/>
  <c r="O10" i="1"/>
  <c r="N2" i="1"/>
  <c r="R2" i="1"/>
  <c r="N11" i="1" l="1"/>
  <c r="O11" i="1" s="1"/>
  <c r="N12" i="1" l="1"/>
  <c r="O12" i="1" l="1"/>
  <c r="N13" i="1" s="1"/>
  <c r="O13" i="1" l="1"/>
  <c r="N14" i="1" s="1"/>
  <c r="O14" i="1" l="1"/>
  <c r="N15" i="1" s="1"/>
  <c r="O15" i="1" l="1"/>
  <c r="N16" i="1" s="1"/>
  <c r="O16" i="1" l="1"/>
  <c r="N17" i="1" s="1"/>
  <c r="O17" i="1" l="1"/>
  <c r="N18" i="1" s="1"/>
  <c r="O18" i="1" l="1"/>
  <c r="N19" i="1" s="1"/>
  <c r="O19" i="1" l="1"/>
</calcChain>
</file>

<file path=xl/sharedStrings.xml><?xml version="1.0" encoding="utf-8"?>
<sst xmlns="http://schemas.openxmlformats.org/spreadsheetml/2006/main" count="164" uniqueCount="107">
  <si>
    <t>d_30</t>
  </si>
  <si>
    <t>Объем</t>
  </si>
  <si>
    <t>Минимум</t>
  </si>
  <si>
    <t>Максимум</t>
  </si>
  <si>
    <t>Размах</t>
  </si>
  <si>
    <t>Медиана</t>
  </si>
  <si>
    <t>Мода</t>
  </si>
  <si>
    <t>1 Квартиль</t>
  </si>
  <si>
    <t>2 Квартиль</t>
  </si>
  <si>
    <t>3 Квартиль</t>
  </si>
  <si>
    <t>4 Квартиль</t>
  </si>
  <si>
    <t>0 Квартиль</t>
  </si>
  <si>
    <t>Интерквартильный размах</t>
  </si>
  <si>
    <t>Выборочное среднее</t>
  </si>
  <si>
    <t>Дисперсия</t>
  </si>
  <si>
    <t>Отклонение</t>
  </si>
  <si>
    <t>Стандартная ошибка среднего</t>
  </si>
  <si>
    <t>Вариационный ряд</t>
  </si>
  <si>
    <t>Варианта</t>
  </si>
  <si>
    <t>Частота</t>
  </si>
  <si>
    <t>К=</t>
  </si>
  <si>
    <t>H=</t>
  </si>
  <si>
    <t>Группированный статистический ряд</t>
  </si>
  <si>
    <t>Начало интервала</t>
  </si>
  <si>
    <t>Конец интервала</t>
  </si>
  <si>
    <t>Группированная частота</t>
  </si>
  <si>
    <t>p(x)*n*h</t>
  </si>
  <si>
    <t>H0-экспоненциальное распределение</t>
  </si>
  <si>
    <t>k=</t>
  </si>
  <si>
    <t>a=</t>
  </si>
  <si>
    <t>0.1</t>
  </si>
  <si>
    <t>xi</t>
  </si>
  <si>
    <t>ni</t>
  </si>
  <si>
    <t>xi*ni</t>
  </si>
  <si>
    <t>λ=</t>
  </si>
  <si>
    <t>e^(-λxi)</t>
  </si>
  <si>
    <t>e^(-λx i+1)</t>
  </si>
  <si>
    <t>Pi</t>
  </si>
  <si>
    <t>n`i</t>
  </si>
  <si>
    <t>(ni-n`i)^2/n`i</t>
  </si>
  <si>
    <t>Х^2 набл</t>
  </si>
  <si>
    <t>Х^2 крит</t>
  </si>
  <si>
    <t>&lt;</t>
  </si>
  <si>
    <t>Гипотеза о распределении случайной величины по экспоненциальному закону подтверждается.</t>
  </si>
  <si>
    <t>p-value</t>
  </si>
  <si>
    <t>Гипотеза Н0 принимается</t>
  </si>
  <si>
    <t>&gt; 0,1</t>
  </si>
  <si>
    <t>y</t>
  </si>
  <si>
    <t>x1</t>
  </si>
  <si>
    <t>x2</t>
  </si>
  <si>
    <t>x3</t>
  </si>
  <si>
    <t>x4</t>
  </si>
  <si>
    <t>Мультиколлинеарные пары факторов</t>
  </si>
  <si>
    <t>n-1</t>
  </si>
  <si>
    <t>Степени свободы</t>
  </si>
  <si>
    <t>Коэф детерм</t>
  </si>
  <si>
    <t>Нормир коэф детерм</t>
  </si>
  <si>
    <t>Выбираем эту модель</t>
  </si>
  <si>
    <t>ВЫВОД ИТОГОВ</t>
  </si>
  <si>
    <t>Регрессионная статистика</t>
  </si>
  <si>
    <t>Множественный R</t>
  </si>
  <si>
    <t>R-квадрат</t>
  </si>
  <si>
    <t>Нормированный R-квадрат</t>
  </si>
  <si>
    <t>Стандартная ошибка</t>
  </si>
  <si>
    <t>Наблюдения</t>
  </si>
  <si>
    <t>Дисперсионный анализ</t>
  </si>
  <si>
    <t>Регрессия</t>
  </si>
  <si>
    <t>Остаток</t>
  </si>
  <si>
    <t>Итого</t>
  </si>
  <si>
    <t>Y-пересечение</t>
  </si>
  <si>
    <t>df</t>
  </si>
  <si>
    <t>SS</t>
  </si>
  <si>
    <t>MS</t>
  </si>
  <si>
    <t>F</t>
  </si>
  <si>
    <t>Значимость F</t>
  </si>
  <si>
    <t>Коэффициенты</t>
  </si>
  <si>
    <t>t-статистика</t>
  </si>
  <si>
    <t>P-Значение</t>
  </si>
  <si>
    <t>Нижние 95%</t>
  </si>
  <si>
    <t>Верхние 95%</t>
  </si>
  <si>
    <t>Нижние 95,0%</t>
  </si>
  <si>
    <t>Верхние 95,0%</t>
  </si>
  <si>
    <t>Переменная X 1</t>
  </si>
  <si>
    <t>Переменная X 2</t>
  </si>
  <si>
    <t>Переменная X 3</t>
  </si>
  <si>
    <t>pvalue =</t>
  </si>
  <si>
    <t>&lt; α(0,1) =&gt; построенное уранение регрессии статистически значимо (на основании критерия Фишера)</t>
  </si>
  <si>
    <t>Для параметров:</t>
  </si>
  <si>
    <t>a</t>
  </si>
  <si>
    <t>b1</t>
  </si>
  <si>
    <t>Для ранжирования факторов найдем стандартизированные значения</t>
  </si>
  <si>
    <t>Ϭy =</t>
  </si>
  <si>
    <t>Ϭx1 =</t>
  </si>
  <si>
    <t>β1 =</t>
  </si>
  <si>
    <t>b2</t>
  </si>
  <si>
    <t>b3</t>
  </si>
  <si>
    <t xml:space="preserve"> &lt; α(0,1) - параметр b1 значим</t>
  </si>
  <si>
    <t>&lt; α(0,1) - параметр a значим</t>
  </si>
  <si>
    <t>&lt; α(0,1) - параметр b2 значим</t>
  </si>
  <si>
    <t>&gt; α(0,1) - параметр b3 не значим</t>
  </si>
  <si>
    <t>Ϭx2 =</t>
  </si>
  <si>
    <t>Ϭx3 =</t>
  </si>
  <si>
    <t>β2 =</t>
  </si>
  <si>
    <t>β3 =</t>
  </si>
  <si>
    <t>β2 оказывает наибольшее значение на результат</t>
  </si>
  <si>
    <t>β1 оказывает среднее значение на результат</t>
  </si>
  <si>
    <t>β3 оказывает наименьшее значение на результат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</si>
</sst>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</font>
    <font>
      <sz val="11"/>
      <color theme="1"/>
      <name val="Times New Roman"/>
      <family val="2"/>
      <charset val="204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34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2" fillId="0" borderId="0" xfId="1" applyAlignment="1">
      <alignment horizontal="center"/>
    </xf>
    <xf numFmtId="0" fontId="0" fillId="0" borderId="0" xfId="0" applyAlignment="1"/>
    <xf numFmtId="1" fontId="0" fillId="0" borderId="0" xfId="0" applyNumberFormat="1"/>
    <xf numFmtId="0" fontId="0" fillId="0" borderId="0" xfId="0" applyFill="1" applyBorder="1" applyAlignment="1"/>
    <xf numFmtId="0" fontId="0" fillId="0" borderId="7" xfId="0" applyFill="1" applyBorder="1" applyAlignment="1"/>
    <xf numFmtId="0" fontId="3" fillId="0" borderId="9" xfId="0" applyFont="1" applyFill="1" applyBorder="1" applyAlignment="1">
      <alignment horizontal="center"/>
    </xf>
    <xf numFmtId="0" fontId="3" fillId="0" borderId="9" xfId="0" applyFont="1" applyFill="1" applyBorder="1" applyAlignment="1">
      <alignment horizontal="centerContinuous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1" fillId="0" borderId="0" xfId="0" applyFont="1" applyAlignment="1">
      <alignment horizontal="right"/>
    </xf>
    <xf numFmtId="0" fontId="1" fillId="0" borderId="0" xfId="0" applyFont="1" applyAlignment="1">
      <alignment horizontal="right" indent="1"/>
    </xf>
    <xf numFmtId="0" fontId="1" fillId="0" borderId="0" xfId="0" applyFont="1" applyAlignment="1">
      <alignment horizontal="left"/>
    </xf>
    <xf numFmtId="0" fontId="0" fillId="0" borderId="0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</cellXfs>
  <cellStyles count="2">
    <cellStyle name="Обычный" xfId="0" builtinId="0"/>
    <cellStyle name="Обычный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Полигон</a:t>
            </a:r>
            <a:r>
              <a:rPr lang="ru-RU" baseline="0"/>
              <a:t> частот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Лист1!$D$10:$D$43</c:f>
              <c:numCache>
                <c:formatCode>General</c:formatCode>
                <c:ptCount val="3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30</c:v>
                </c:pt>
                <c:pt idx="29">
                  <c:v>33</c:v>
                </c:pt>
                <c:pt idx="30">
                  <c:v>34</c:v>
                </c:pt>
                <c:pt idx="31">
                  <c:v>37</c:v>
                </c:pt>
                <c:pt idx="32">
                  <c:v>41</c:v>
                </c:pt>
                <c:pt idx="33">
                  <c:v>50</c:v>
                </c:pt>
              </c:numCache>
            </c:numRef>
          </c:xVal>
          <c:yVal>
            <c:numRef>
              <c:f>Лист1!$E$10:$E$43</c:f>
              <c:numCache>
                <c:formatCode>General</c:formatCode>
                <c:ptCount val="34"/>
                <c:pt idx="0">
                  <c:v>9</c:v>
                </c:pt>
                <c:pt idx="1">
                  <c:v>7</c:v>
                </c:pt>
                <c:pt idx="2">
                  <c:v>8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3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2</c:v>
                </c:pt>
                <c:pt idx="12">
                  <c:v>1</c:v>
                </c:pt>
                <c:pt idx="13">
                  <c:v>5</c:v>
                </c:pt>
                <c:pt idx="14">
                  <c:v>4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3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1278560"/>
        <c:axId val="441279344"/>
      </c:scatterChart>
      <c:valAx>
        <c:axId val="441278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1279344"/>
        <c:crosses val="autoZero"/>
        <c:crossBetween val="midCat"/>
      </c:valAx>
      <c:valAx>
        <c:axId val="44127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1278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Гистограмма частот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Лист1!$P$10:$P$19</c:f>
              <c:numCache>
                <c:formatCode>General</c:formatCode>
                <c:ptCount val="10"/>
                <c:pt idx="0">
                  <c:v>39</c:v>
                </c:pt>
                <c:pt idx="1">
                  <c:v>26</c:v>
                </c:pt>
                <c:pt idx="2">
                  <c:v>18</c:v>
                </c:pt>
                <c:pt idx="3">
                  <c:v>10</c:v>
                </c:pt>
                <c:pt idx="4">
                  <c:v>8</c:v>
                </c:pt>
                <c:pt idx="5">
                  <c:v>7</c:v>
                </c:pt>
                <c:pt idx="6">
                  <c:v>5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1275032"/>
        <c:axId val="441278168"/>
      </c:barChart>
      <c:catAx>
        <c:axId val="441275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1278168"/>
        <c:crosses val="autoZero"/>
        <c:auto val="1"/>
        <c:lblAlgn val="ctr"/>
        <c:lblOffset val="100"/>
        <c:noMultiLvlLbl val="0"/>
      </c:catAx>
      <c:valAx>
        <c:axId val="441278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1275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Гистограмма частот и плотность</a:t>
            </a:r>
          </a:p>
        </c:rich>
      </c:tx>
      <c:layout>
        <c:manualLayout>
          <c:xMode val="edge"/>
          <c:yMode val="edge"/>
          <c:x val="0.22243744531933507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Лист1!$P$10:$P$19</c:f>
              <c:numCache>
                <c:formatCode>General</c:formatCode>
                <c:ptCount val="10"/>
                <c:pt idx="0">
                  <c:v>39</c:v>
                </c:pt>
                <c:pt idx="1">
                  <c:v>26</c:v>
                </c:pt>
                <c:pt idx="2">
                  <c:v>18</c:v>
                </c:pt>
                <c:pt idx="3">
                  <c:v>10</c:v>
                </c:pt>
                <c:pt idx="4">
                  <c:v>8</c:v>
                </c:pt>
                <c:pt idx="5">
                  <c:v>7</c:v>
                </c:pt>
                <c:pt idx="6">
                  <c:v>5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441275424"/>
        <c:axId val="441274248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Лист1!$Q$10:$Q$19</c:f>
              <c:numCache>
                <c:formatCode>General</c:formatCode>
                <c:ptCount val="10"/>
                <c:pt idx="0">
                  <c:v>36.41840938643675</c:v>
                </c:pt>
                <c:pt idx="1">
                  <c:v>23.039242122368442</c:v>
                </c:pt>
                <c:pt idx="2">
                  <c:v>14.575229575259918</c:v>
                </c:pt>
                <c:pt idx="3">
                  <c:v>9.2206729736686661</c:v>
                </c:pt>
                <c:pt idx="4">
                  <c:v>5.8332398572752906</c:v>
                </c:pt>
                <c:pt idx="5">
                  <c:v>3.6902607141229855</c:v>
                </c:pt>
                <c:pt idx="6">
                  <c:v>2.3345558337044761</c:v>
                </c:pt>
                <c:pt idx="7">
                  <c:v>1.4769013256503374</c:v>
                </c:pt>
                <c:pt idx="8">
                  <c:v>0.93432656191671959</c:v>
                </c:pt>
                <c:pt idx="9">
                  <c:v>0.59107951840906969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1275424"/>
        <c:axId val="441274248"/>
      </c:lineChart>
      <c:catAx>
        <c:axId val="441275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1274248"/>
        <c:crosses val="autoZero"/>
        <c:auto val="1"/>
        <c:lblAlgn val="ctr"/>
        <c:lblOffset val="100"/>
        <c:noMultiLvlLbl val="0"/>
      </c:catAx>
      <c:valAx>
        <c:axId val="441274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41275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3" Type="http://schemas.openxmlformats.org/officeDocument/2006/relationships/chart" Target="../charts/chart3.xml"/><Relationship Id="rId7" Type="http://schemas.openxmlformats.org/officeDocument/2006/relationships/image" Target="../media/image4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10" Type="http://schemas.openxmlformats.org/officeDocument/2006/relationships/image" Target="../media/image7.png"/><Relationship Id="rId4" Type="http://schemas.openxmlformats.org/officeDocument/2006/relationships/image" Target="../media/image1.png"/><Relationship Id="rId9" Type="http://schemas.openxmlformats.org/officeDocument/2006/relationships/image" Target="../media/image6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9</xdr:row>
      <xdr:rowOff>52387</xdr:rowOff>
    </xdr:from>
    <xdr:to>
      <xdr:col>11</xdr:col>
      <xdr:colOff>552450</xdr:colOff>
      <xdr:row>23</xdr:row>
      <xdr:rowOff>128587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790575</xdr:colOff>
      <xdr:row>21</xdr:row>
      <xdr:rowOff>52387</xdr:rowOff>
    </xdr:from>
    <xdr:to>
      <xdr:col>18</xdr:col>
      <xdr:colOff>552450</xdr:colOff>
      <xdr:row>35</xdr:row>
      <xdr:rowOff>138112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790575</xdr:colOff>
      <xdr:row>35</xdr:row>
      <xdr:rowOff>85725</xdr:rowOff>
    </xdr:from>
    <xdr:to>
      <xdr:col>18</xdr:col>
      <xdr:colOff>552450</xdr:colOff>
      <xdr:row>49</xdr:row>
      <xdr:rowOff>152400</xdr:rowOff>
    </xdr:to>
    <xdr:graphicFrame macro="">
      <xdr:nvGraphicFramePr>
        <xdr:cNvPr id="6" name="Диаграмма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</xdr:col>
      <xdr:colOff>252351</xdr:colOff>
      <xdr:row>51</xdr:row>
      <xdr:rowOff>68036</xdr:rowOff>
    </xdr:from>
    <xdr:to>
      <xdr:col>12</xdr:col>
      <xdr:colOff>423520</xdr:colOff>
      <xdr:row>75</xdr:row>
      <xdr:rowOff>176432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4672" y="9865179"/>
          <a:ext cx="7573455" cy="4680396"/>
        </a:xfrm>
        <a:prstGeom prst="rect">
          <a:avLst/>
        </a:prstGeom>
      </xdr:spPr>
    </xdr:pic>
    <xdr:clientData/>
  </xdr:twoCellAnchor>
  <xdr:twoCellAnchor editAs="oneCell">
    <xdr:from>
      <xdr:col>13</xdr:col>
      <xdr:colOff>329045</xdr:colOff>
      <xdr:row>53</xdr:row>
      <xdr:rowOff>122876</xdr:rowOff>
    </xdr:from>
    <xdr:to>
      <xdr:col>22</xdr:col>
      <xdr:colOff>438090</xdr:colOff>
      <xdr:row>76</xdr:row>
      <xdr:rowOff>164885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60081" y="10301019"/>
          <a:ext cx="7184759" cy="4423509"/>
        </a:xfrm>
        <a:prstGeom prst="rect">
          <a:avLst/>
        </a:prstGeom>
      </xdr:spPr>
    </xdr:pic>
    <xdr:clientData/>
  </xdr:twoCellAnchor>
  <xdr:twoCellAnchor editAs="oneCell">
    <xdr:from>
      <xdr:col>1</xdr:col>
      <xdr:colOff>217715</xdr:colOff>
      <xdr:row>78</xdr:row>
      <xdr:rowOff>33399</xdr:rowOff>
    </xdr:from>
    <xdr:to>
      <xdr:col>12</xdr:col>
      <xdr:colOff>411719</xdr:colOff>
      <xdr:row>102</xdr:row>
      <xdr:rowOff>153340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0036" y="14974042"/>
          <a:ext cx="7596290" cy="4691941"/>
        </a:xfrm>
        <a:prstGeom prst="rect">
          <a:avLst/>
        </a:prstGeom>
      </xdr:spPr>
    </xdr:pic>
    <xdr:clientData/>
  </xdr:twoCellAnchor>
  <xdr:twoCellAnchor editAs="oneCell">
    <xdr:from>
      <xdr:col>13</xdr:col>
      <xdr:colOff>216158</xdr:colOff>
      <xdr:row>78</xdr:row>
      <xdr:rowOff>44946</xdr:rowOff>
    </xdr:from>
    <xdr:to>
      <xdr:col>24</xdr:col>
      <xdr:colOff>327584</xdr:colOff>
      <xdr:row>105</xdr:row>
      <xdr:rowOff>55205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47194" y="14985589"/>
          <a:ext cx="8411783" cy="5153759"/>
        </a:xfrm>
        <a:prstGeom prst="rect">
          <a:avLst/>
        </a:prstGeom>
      </xdr:spPr>
    </xdr:pic>
    <xdr:clientData/>
  </xdr:twoCellAnchor>
  <xdr:twoCellAnchor editAs="oneCell">
    <xdr:from>
      <xdr:col>24</xdr:col>
      <xdr:colOff>721179</xdr:colOff>
      <xdr:row>54</xdr:row>
      <xdr:rowOff>27215</xdr:rowOff>
    </xdr:from>
    <xdr:to>
      <xdr:col>30</xdr:col>
      <xdr:colOff>329806</xdr:colOff>
      <xdr:row>82</xdr:row>
      <xdr:rowOff>18433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852572" y="10395858"/>
          <a:ext cx="3677163" cy="532521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84</xdr:row>
      <xdr:rowOff>0</xdr:rowOff>
    </xdr:from>
    <xdr:to>
      <xdr:col>30</xdr:col>
      <xdr:colOff>117484</xdr:colOff>
      <xdr:row>97</xdr:row>
      <xdr:rowOff>346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002250" y="16083643"/>
          <a:ext cx="3315163" cy="2476846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54</xdr:row>
      <xdr:rowOff>0</xdr:rowOff>
    </xdr:from>
    <xdr:to>
      <xdr:col>38</xdr:col>
      <xdr:colOff>143493</xdr:colOff>
      <xdr:row>78</xdr:row>
      <xdr:rowOff>143533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812250" y="10368643"/>
          <a:ext cx="4429743" cy="47155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123265</xdr:colOff>
      <xdr:row>35</xdr:row>
      <xdr:rowOff>123264</xdr:rowOff>
    </xdr:from>
    <xdr:to>
      <xdr:col>31</xdr:col>
      <xdr:colOff>143392</xdr:colOff>
      <xdr:row>58</xdr:row>
      <xdr:rowOff>121979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349383" y="6824382"/>
          <a:ext cx="7886656" cy="4436244"/>
        </a:xfrm>
        <a:prstGeom prst="rect">
          <a:avLst/>
        </a:prstGeom>
      </xdr:spPr>
    </xdr:pic>
    <xdr:clientData/>
  </xdr:twoCellAnchor>
  <xdr:twoCellAnchor editAs="oneCell">
    <xdr:from>
      <xdr:col>31</xdr:col>
      <xdr:colOff>571500</xdr:colOff>
      <xdr:row>40</xdr:row>
      <xdr:rowOff>190499</xdr:rowOff>
    </xdr:from>
    <xdr:to>
      <xdr:col>41</xdr:col>
      <xdr:colOff>291353</xdr:colOff>
      <xdr:row>57</xdr:row>
      <xdr:rowOff>137455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664147" y="7844117"/>
          <a:ext cx="5771030" cy="3241485"/>
        </a:xfrm>
        <a:prstGeom prst="rect">
          <a:avLst/>
        </a:prstGeom>
      </xdr:spPr>
    </xdr:pic>
    <xdr:clientData/>
  </xdr:twoCellAnchor>
  <xdr:twoCellAnchor editAs="oneCell">
    <xdr:from>
      <xdr:col>32</xdr:col>
      <xdr:colOff>33619</xdr:colOff>
      <xdr:row>58</xdr:row>
      <xdr:rowOff>134470</xdr:rowOff>
    </xdr:from>
    <xdr:to>
      <xdr:col>38</xdr:col>
      <xdr:colOff>453903</xdr:colOff>
      <xdr:row>78</xdr:row>
      <xdr:rowOff>71498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31384" y="11273117"/>
          <a:ext cx="4050990" cy="3747028"/>
        </a:xfrm>
        <a:prstGeom prst="rect">
          <a:avLst/>
        </a:prstGeom>
      </xdr:spPr>
    </xdr:pic>
    <xdr:clientData/>
  </xdr:twoCellAnchor>
  <xdr:twoCellAnchor editAs="oneCell">
    <xdr:from>
      <xdr:col>18</xdr:col>
      <xdr:colOff>571500</xdr:colOff>
      <xdr:row>81</xdr:row>
      <xdr:rowOff>89647</xdr:rowOff>
    </xdr:from>
    <xdr:to>
      <xdr:col>27</xdr:col>
      <xdr:colOff>70062</xdr:colOff>
      <xdr:row>103</xdr:row>
      <xdr:rowOff>142119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797618" y="15609794"/>
          <a:ext cx="4944620" cy="4243472"/>
        </a:xfrm>
        <a:prstGeom prst="rect">
          <a:avLst/>
        </a:prstGeom>
      </xdr:spPr>
    </xdr:pic>
    <xdr:clientData/>
  </xdr:twoCellAnchor>
  <xdr:twoCellAnchor editAs="oneCell">
    <xdr:from>
      <xdr:col>19</xdr:col>
      <xdr:colOff>78442</xdr:colOff>
      <xdr:row>61</xdr:row>
      <xdr:rowOff>11320</xdr:rowOff>
    </xdr:from>
    <xdr:to>
      <xdr:col>29</xdr:col>
      <xdr:colOff>100853</xdr:colOff>
      <xdr:row>78</xdr:row>
      <xdr:rowOff>189213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909677" y="11721467"/>
          <a:ext cx="6073588" cy="34163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1"/>
  <sheetViews>
    <sheetView topLeftCell="B46" zoomScale="70" zoomScaleNormal="70" workbookViewId="0">
      <selection activeCell="AF55" sqref="AF55"/>
    </sheetView>
  </sheetViews>
  <sheetFormatPr defaultRowHeight="15" x14ac:dyDescent="0.25"/>
  <cols>
    <col min="1" max="8" width="9.140625" style="1"/>
    <col min="9" max="9" width="11.42578125" style="1" customWidth="1"/>
    <col min="10" max="10" width="12.140625" style="1" customWidth="1"/>
    <col min="11" max="11" width="11" style="1" customWidth="1"/>
    <col min="12" max="12" width="12" style="1" customWidth="1"/>
    <col min="13" max="13" width="12.140625" style="1" customWidth="1"/>
    <col min="14" max="14" width="12.5703125" style="1" customWidth="1"/>
    <col min="15" max="15" width="12.42578125" style="1" customWidth="1"/>
    <col min="16" max="16" width="12.5703125" style="1" customWidth="1"/>
    <col min="17" max="17" width="13.28515625" style="1" customWidth="1"/>
    <col min="18" max="20" width="9.140625" style="1"/>
    <col min="21" max="21" width="9.140625" style="1" customWidth="1"/>
    <col min="22" max="22" width="18.42578125" style="1" customWidth="1"/>
    <col min="23" max="23" width="9.140625" style="1" customWidth="1"/>
    <col min="24" max="24" width="9.140625" style="1"/>
    <col min="25" max="25" width="13.140625" style="1" customWidth="1"/>
    <col min="26" max="26" width="9.140625" style="1"/>
    <col min="27" max="27" width="11.28515625" style="1" customWidth="1"/>
    <col min="28" max="16384" width="9.140625" style="1"/>
  </cols>
  <sheetData>
    <row r="1" spans="1:29" x14ac:dyDescent="0.25">
      <c r="A1" s="2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11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29" x14ac:dyDescent="0.25">
      <c r="A2" s="1">
        <v>2</v>
      </c>
      <c r="C2" s="1">
        <f>COUNT(A2:A101)</f>
        <v>100</v>
      </c>
      <c r="D2" s="1">
        <f>MIN(A2:A101)</f>
        <v>0</v>
      </c>
      <c r="E2" s="1">
        <f>MAX(A2:A101)</f>
        <v>50</v>
      </c>
      <c r="F2" s="1">
        <f>E2-D2</f>
        <v>50</v>
      </c>
      <c r="G2" s="1">
        <f>MEDIAN(A2:A101)</f>
        <v>8</v>
      </c>
      <c r="H2" s="1">
        <f>_xlfn.MODE.SNGL(A2:A101)</f>
        <v>0</v>
      </c>
      <c r="I2" s="1">
        <f>_xlfn.QUARTILE.INC(A2:A101,0)</f>
        <v>0</v>
      </c>
      <c r="J2" s="1">
        <f>_xlfn.QUARTILE.INC(A2:A101,1)</f>
        <v>3</v>
      </c>
      <c r="K2" s="1">
        <f>_xlfn.QUARTILE.INC(A2:A101,2)</f>
        <v>8</v>
      </c>
      <c r="L2" s="1">
        <f>_xlfn.QUARTILE.INC(A2:A101,3)</f>
        <v>15.25</v>
      </c>
      <c r="M2" s="1">
        <f>_xlfn.QUARTILE.INC(A2:A101,4)</f>
        <v>50</v>
      </c>
      <c r="N2" s="1">
        <f>L2-J2</f>
        <v>12.25</v>
      </c>
      <c r="O2" s="1">
        <f>AVERAGE(A2:A101)</f>
        <v>10.92</v>
      </c>
      <c r="P2" s="1">
        <f>_xlfn.VAR.S(A2:A101)</f>
        <v>109.26626262626263</v>
      </c>
      <c r="Q2" s="1">
        <f>SQRT(P2)</f>
        <v>10.453050398149941</v>
      </c>
      <c r="R2" s="1">
        <f>Q2/SQRT(C2)</f>
        <v>1.0453050398149941</v>
      </c>
    </row>
    <row r="3" spans="1:29" x14ac:dyDescent="0.25">
      <c r="A3" s="1">
        <v>50</v>
      </c>
    </row>
    <row r="4" spans="1:29" x14ac:dyDescent="0.25">
      <c r="A4" s="1">
        <v>9</v>
      </c>
    </row>
    <row r="5" spans="1:29" ht="15.75" thickBot="1" x14ac:dyDescent="0.3">
      <c r="A5" s="1">
        <v>23</v>
      </c>
      <c r="U5" s="3"/>
      <c r="V5" s="3"/>
      <c r="W5" s="3"/>
      <c r="X5" s="3"/>
      <c r="Y5" s="3"/>
      <c r="Z5" s="3"/>
      <c r="AA5" s="3"/>
    </row>
    <row r="6" spans="1:29" ht="15.75" thickBot="1" x14ac:dyDescent="0.3">
      <c r="A6" s="1">
        <v>14</v>
      </c>
      <c r="N6" s="4"/>
      <c r="O6" s="5" t="s">
        <v>20</v>
      </c>
      <c r="P6" s="5">
        <f>ROUND(POWER(10*C2,1/3),0)</f>
        <v>10</v>
      </c>
      <c r="Q6" s="5"/>
      <c r="R6" s="5" t="s">
        <v>21</v>
      </c>
      <c r="S6" s="6">
        <f>F2/P6</f>
        <v>5</v>
      </c>
      <c r="U6" s="4" t="s">
        <v>28</v>
      </c>
      <c r="V6" s="5">
        <f>30-6*INT(30/6)</f>
        <v>0</v>
      </c>
      <c r="W6" s="5"/>
      <c r="X6" s="5"/>
      <c r="Y6" s="5"/>
      <c r="Z6" s="5"/>
      <c r="AA6" s="5"/>
      <c r="AB6" s="5"/>
      <c r="AC6" s="6"/>
    </row>
    <row r="7" spans="1:29" x14ac:dyDescent="0.25">
      <c r="A7" s="1">
        <v>8</v>
      </c>
      <c r="C7" s="4"/>
      <c r="D7" s="5"/>
      <c r="E7" s="5"/>
      <c r="F7" s="5"/>
      <c r="G7" s="5"/>
      <c r="H7" s="5"/>
      <c r="I7" s="5"/>
      <c r="J7" s="5"/>
      <c r="K7" s="5"/>
      <c r="L7" s="6"/>
      <c r="N7" s="7"/>
      <c r="O7" s="3"/>
      <c r="P7" s="3"/>
      <c r="Q7" s="3"/>
      <c r="R7" s="3"/>
      <c r="S7" s="8"/>
      <c r="U7" s="7" t="s">
        <v>29</v>
      </c>
      <c r="V7" s="3" t="s">
        <v>30</v>
      </c>
      <c r="W7" s="3"/>
      <c r="X7" s="3"/>
      <c r="Y7" s="3"/>
      <c r="Z7" s="3"/>
      <c r="AA7" s="3"/>
      <c r="AB7" s="3"/>
      <c r="AC7" s="8"/>
    </row>
    <row r="8" spans="1:29" x14ac:dyDescent="0.25">
      <c r="A8" s="1">
        <v>2</v>
      </c>
      <c r="C8" s="7"/>
      <c r="D8" s="31" t="s">
        <v>17</v>
      </c>
      <c r="E8" s="31"/>
      <c r="F8" s="3"/>
      <c r="G8" s="3"/>
      <c r="H8" s="3"/>
      <c r="I8" s="3"/>
      <c r="J8" s="3"/>
      <c r="K8" s="3"/>
      <c r="L8" s="8"/>
      <c r="N8" s="7" t="s">
        <v>22</v>
      </c>
      <c r="O8" s="3"/>
      <c r="P8" s="3"/>
      <c r="Q8" s="3"/>
      <c r="R8" s="3"/>
      <c r="S8" s="8"/>
      <c r="U8" s="7"/>
      <c r="V8" s="3"/>
      <c r="W8" s="3"/>
      <c r="X8" s="3"/>
      <c r="Y8" s="3"/>
      <c r="Z8" s="3"/>
      <c r="AA8" s="3"/>
      <c r="AB8" s="3"/>
      <c r="AC8" s="8"/>
    </row>
    <row r="9" spans="1:29" x14ac:dyDescent="0.25">
      <c r="A9" s="1">
        <v>10</v>
      </c>
      <c r="C9" s="7"/>
      <c r="D9" s="3" t="s">
        <v>18</v>
      </c>
      <c r="E9" s="3" t="s">
        <v>19</v>
      </c>
      <c r="F9" s="3"/>
      <c r="G9" s="3"/>
      <c r="H9" s="3"/>
      <c r="I9" s="3"/>
      <c r="J9" s="3"/>
      <c r="K9" s="3"/>
      <c r="L9" s="8"/>
      <c r="N9" s="7" t="s">
        <v>23</v>
      </c>
      <c r="O9" s="3" t="s">
        <v>24</v>
      </c>
      <c r="P9" s="3" t="s">
        <v>25</v>
      </c>
      <c r="Q9" s="3" t="s">
        <v>26</v>
      </c>
      <c r="R9" s="3"/>
      <c r="S9" s="8"/>
      <c r="U9" s="7" t="s">
        <v>23</v>
      </c>
      <c r="V9" s="3" t="s">
        <v>24</v>
      </c>
      <c r="W9" s="3" t="s">
        <v>31</v>
      </c>
      <c r="X9" s="3" t="s">
        <v>32</v>
      </c>
      <c r="Y9" s="3" t="s">
        <v>33</v>
      </c>
      <c r="Z9" s="3" t="s">
        <v>35</v>
      </c>
      <c r="AA9" s="3" t="s">
        <v>36</v>
      </c>
      <c r="AB9" s="3" t="s">
        <v>37</v>
      </c>
      <c r="AC9" s="8" t="s">
        <v>38</v>
      </c>
    </row>
    <row r="10" spans="1:29" x14ac:dyDescent="0.25">
      <c r="A10" s="1">
        <v>37</v>
      </c>
      <c r="C10" s="7"/>
      <c r="D10" s="3">
        <v>0</v>
      </c>
      <c r="E10" s="3">
        <f>COUNTIF($A$2:$A$101,D10)</f>
        <v>9</v>
      </c>
      <c r="F10" s="3"/>
      <c r="G10" s="3"/>
      <c r="H10" s="3"/>
      <c r="I10" s="3"/>
      <c r="J10" s="3"/>
      <c r="K10" s="3"/>
      <c r="L10" s="8"/>
      <c r="N10" s="7">
        <f>D10</f>
        <v>0</v>
      </c>
      <c r="O10" s="3">
        <f>N10+$S$6</f>
        <v>5</v>
      </c>
      <c r="P10" s="3">
        <v>39</v>
      </c>
      <c r="Q10" s="3">
        <f>_xlfn.EXPON.DIST((N10+O10)/2,1/$O$2,FALSE)*$C$2*$S$6</f>
        <v>36.41840938643675</v>
      </c>
      <c r="R10" s="3"/>
      <c r="S10" s="8"/>
      <c r="U10" s="7">
        <f>K10</f>
        <v>0</v>
      </c>
      <c r="V10" s="3">
        <f>U10+$S$6</f>
        <v>5</v>
      </c>
      <c r="W10" s="3">
        <f>(U10+V10)/2</f>
        <v>2.5</v>
      </c>
      <c r="X10" s="3">
        <v>39</v>
      </c>
      <c r="Y10" s="3">
        <f>W10*X10</f>
        <v>97.5</v>
      </c>
      <c r="Z10" s="3">
        <f>EXP(-$V$21 *U10)</f>
        <v>1</v>
      </c>
      <c r="AA10" s="3">
        <f>EXP(-$V$21 *V10)</f>
        <v>0.63262625991976762</v>
      </c>
      <c r="AB10" s="3">
        <f>Z10-AA10</f>
        <v>0.36737374008023238</v>
      </c>
      <c r="AC10" s="8">
        <f>AB10*$C$2</f>
        <v>36.737374008023238</v>
      </c>
    </row>
    <row r="11" spans="1:29" x14ac:dyDescent="0.25">
      <c r="A11" s="1">
        <v>9</v>
      </c>
      <c r="C11" s="7"/>
      <c r="D11" s="3">
        <v>1</v>
      </c>
      <c r="E11" s="3">
        <f t="shared" ref="E11:E43" si="0">COUNTIF($A$2:$A$101,D11)</f>
        <v>7</v>
      </c>
      <c r="F11" s="3"/>
      <c r="G11" s="3"/>
      <c r="H11" s="3"/>
      <c r="I11" s="3"/>
      <c r="J11" s="3"/>
      <c r="K11" s="3"/>
      <c r="L11" s="8"/>
      <c r="N11" s="7">
        <f>O10</f>
        <v>5</v>
      </c>
      <c r="O11" s="3">
        <f t="shared" ref="O11:O19" si="1">N11+$S$6</f>
        <v>10</v>
      </c>
      <c r="P11" s="3">
        <v>26</v>
      </c>
      <c r="Q11" s="15">
        <f t="shared" ref="Q11:Q19" si="2">_xlfn.EXPON.DIST((N11+O11)/2,1/$O$2,FALSE)*$C$2*$S$6</f>
        <v>23.039242122368442</v>
      </c>
      <c r="R11" s="3"/>
      <c r="S11" s="8"/>
      <c r="U11" s="7">
        <f>V10</f>
        <v>5</v>
      </c>
      <c r="V11" s="3">
        <f t="shared" ref="V11:V19" si="3">U11+$S$6</f>
        <v>10</v>
      </c>
      <c r="W11" s="3">
        <f t="shared" ref="W11:W19" si="4">(U11+V11)/2</f>
        <v>7.5</v>
      </c>
      <c r="X11" s="3">
        <v>26</v>
      </c>
      <c r="Y11" s="3">
        <f t="shared" ref="Y11:Y19" si="5">W11*X11</f>
        <v>195</v>
      </c>
      <c r="Z11" s="3">
        <f t="shared" ref="Z11:Z19" si="6">EXP(-$V$21 *U11)</f>
        <v>0.63262625991976762</v>
      </c>
      <c r="AA11" s="3">
        <f t="shared" ref="AA11:AA19" si="7">EXP(-$V$21 *V11)</f>
        <v>0.40021598474007342</v>
      </c>
      <c r="AB11" s="3">
        <f t="shared" ref="AB11:AB19" si="8">Z11-AA11</f>
        <v>0.2324102751796942</v>
      </c>
      <c r="AC11" s="8">
        <f t="shared" ref="AC11:AC18" si="9">AB11*$C$2</f>
        <v>23.241027517969421</v>
      </c>
    </row>
    <row r="12" spans="1:29" x14ac:dyDescent="0.25">
      <c r="A12" s="1">
        <v>22</v>
      </c>
      <c r="C12" s="7"/>
      <c r="D12" s="3">
        <v>2</v>
      </c>
      <c r="E12" s="3">
        <f t="shared" si="0"/>
        <v>8</v>
      </c>
      <c r="F12" s="3"/>
      <c r="G12" s="3"/>
      <c r="H12" s="3"/>
      <c r="I12" s="3"/>
      <c r="J12" s="3"/>
      <c r="K12" s="3"/>
      <c r="L12" s="8"/>
      <c r="N12" s="7">
        <f t="shared" ref="N12:N15" si="10">O11</f>
        <v>10</v>
      </c>
      <c r="O12" s="3">
        <f t="shared" si="1"/>
        <v>15</v>
      </c>
      <c r="P12" s="3">
        <v>18</v>
      </c>
      <c r="Q12" s="15">
        <f t="shared" si="2"/>
        <v>14.575229575259918</v>
      </c>
      <c r="R12" s="3"/>
      <c r="S12" s="8"/>
      <c r="U12" s="7">
        <f t="shared" ref="U12:U15" si="11">V11</f>
        <v>10</v>
      </c>
      <c r="V12" s="3">
        <f t="shared" si="3"/>
        <v>15</v>
      </c>
      <c r="W12" s="3">
        <f t="shared" si="4"/>
        <v>12.5</v>
      </c>
      <c r="X12" s="3">
        <v>18</v>
      </c>
      <c r="Y12" s="3">
        <f t="shared" si="5"/>
        <v>225</v>
      </c>
      <c r="Z12" s="3">
        <f t="shared" si="6"/>
        <v>0.40021598474007342</v>
      </c>
      <c r="AA12" s="3">
        <f t="shared" si="7"/>
        <v>0.25318714158621941</v>
      </c>
      <c r="AB12" s="3">
        <f t="shared" si="8"/>
        <v>0.14702884315385401</v>
      </c>
      <c r="AC12" s="8">
        <f t="shared" si="9"/>
        <v>14.702884315385401</v>
      </c>
    </row>
    <row r="13" spans="1:29" x14ac:dyDescent="0.25">
      <c r="A13" s="1">
        <v>8</v>
      </c>
      <c r="C13" s="7"/>
      <c r="D13" s="3">
        <v>3</v>
      </c>
      <c r="E13" s="3">
        <f t="shared" si="0"/>
        <v>7</v>
      </c>
      <c r="F13" s="3"/>
      <c r="G13" s="3"/>
      <c r="H13" s="3"/>
      <c r="I13" s="3"/>
      <c r="J13" s="3"/>
      <c r="K13" s="3"/>
      <c r="L13" s="8"/>
      <c r="N13" s="7">
        <f t="shared" si="10"/>
        <v>15</v>
      </c>
      <c r="O13" s="3">
        <f t="shared" si="1"/>
        <v>20</v>
      </c>
      <c r="P13" s="9">
        <v>10</v>
      </c>
      <c r="Q13" s="15">
        <f t="shared" si="2"/>
        <v>9.2206729736686661</v>
      </c>
      <c r="R13" s="3"/>
      <c r="S13" s="8"/>
      <c r="U13" s="7">
        <f t="shared" si="11"/>
        <v>15</v>
      </c>
      <c r="V13" s="3">
        <f t="shared" si="3"/>
        <v>20</v>
      </c>
      <c r="W13" s="3">
        <f t="shared" si="4"/>
        <v>17.5</v>
      </c>
      <c r="X13" s="9">
        <v>10</v>
      </c>
      <c r="Y13" s="3">
        <f t="shared" si="5"/>
        <v>175</v>
      </c>
      <c r="Z13" s="3">
        <f t="shared" si="6"/>
        <v>0.25318714158621941</v>
      </c>
      <c r="AA13" s="3">
        <f t="shared" si="7"/>
        <v>0.16017283444146668</v>
      </c>
      <c r="AB13" s="3">
        <f t="shared" si="8"/>
        <v>9.3014307144752728E-2</v>
      </c>
      <c r="AC13" s="8">
        <f t="shared" si="9"/>
        <v>9.3014307144752735</v>
      </c>
    </row>
    <row r="14" spans="1:29" x14ac:dyDescent="0.25">
      <c r="A14" s="1">
        <v>4</v>
      </c>
      <c r="C14" s="7"/>
      <c r="D14" s="3">
        <v>4</v>
      </c>
      <c r="E14" s="3">
        <f t="shared" si="0"/>
        <v>4</v>
      </c>
      <c r="F14" s="3"/>
      <c r="G14" s="3"/>
      <c r="H14" s="3"/>
      <c r="I14" s="3"/>
      <c r="J14" s="3"/>
      <c r="K14" s="3"/>
      <c r="L14" s="8"/>
      <c r="N14" s="7">
        <f t="shared" si="10"/>
        <v>20</v>
      </c>
      <c r="O14" s="3">
        <f t="shared" si="1"/>
        <v>25</v>
      </c>
      <c r="P14" s="9">
        <v>8</v>
      </c>
      <c r="Q14" s="15">
        <f t="shared" si="2"/>
        <v>5.8332398572752906</v>
      </c>
      <c r="R14" s="3"/>
      <c r="S14" s="8"/>
      <c r="U14" s="7">
        <f t="shared" si="11"/>
        <v>20</v>
      </c>
      <c r="V14" s="3">
        <f t="shared" si="3"/>
        <v>25</v>
      </c>
      <c r="W14" s="3">
        <f t="shared" si="4"/>
        <v>22.5</v>
      </c>
      <c r="X14" s="9">
        <v>8</v>
      </c>
      <c r="Y14" s="3">
        <f t="shared" si="5"/>
        <v>180</v>
      </c>
      <c r="Z14" s="3">
        <f t="shared" si="6"/>
        <v>0.16017283444146668</v>
      </c>
      <c r="AA14" s="3">
        <f t="shared" si="7"/>
        <v>0.10132954119345322</v>
      </c>
      <c r="AB14" s="3">
        <f t="shared" si="8"/>
        <v>5.8843293248013462E-2</v>
      </c>
      <c r="AC14" s="8">
        <f t="shared" si="9"/>
        <v>5.884329324801346</v>
      </c>
    </row>
    <row r="15" spans="1:29" x14ac:dyDescent="0.25">
      <c r="A15" s="1">
        <v>3</v>
      </c>
      <c r="C15" s="7"/>
      <c r="D15" s="3">
        <v>5</v>
      </c>
      <c r="E15" s="3">
        <f t="shared" si="0"/>
        <v>4</v>
      </c>
      <c r="F15" s="3"/>
      <c r="G15" s="3"/>
      <c r="H15" s="3"/>
      <c r="I15" s="3"/>
      <c r="J15" s="3"/>
      <c r="K15" s="3"/>
      <c r="L15" s="8"/>
      <c r="N15" s="7">
        <f t="shared" si="10"/>
        <v>25</v>
      </c>
      <c r="O15" s="3">
        <f t="shared" si="1"/>
        <v>30</v>
      </c>
      <c r="P15" s="9">
        <v>7</v>
      </c>
      <c r="Q15" s="15">
        <f t="shared" si="2"/>
        <v>3.6902607141229855</v>
      </c>
      <c r="R15" s="3"/>
      <c r="S15" s="8"/>
      <c r="U15" s="7">
        <f t="shared" si="11"/>
        <v>25</v>
      </c>
      <c r="V15" s="3">
        <f t="shared" si="3"/>
        <v>30</v>
      </c>
      <c r="W15" s="3">
        <f t="shared" si="4"/>
        <v>27.5</v>
      </c>
      <c r="X15" s="9">
        <v>7</v>
      </c>
      <c r="Y15" s="3">
        <f t="shared" si="5"/>
        <v>192.5</v>
      </c>
      <c r="Z15" s="3">
        <f t="shared" si="6"/>
        <v>0.10132954119345322</v>
      </c>
      <c r="AA15" s="3">
        <f t="shared" si="7"/>
        <v>6.4103728664600332E-2</v>
      </c>
      <c r="AB15" s="3">
        <f t="shared" si="8"/>
        <v>3.7225812528852889E-2</v>
      </c>
      <c r="AC15" s="8">
        <f t="shared" si="9"/>
        <v>3.7225812528852891</v>
      </c>
    </row>
    <row r="16" spans="1:29" x14ac:dyDescent="0.25">
      <c r="A16" s="1">
        <v>8</v>
      </c>
      <c r="C16" s="7"/>
      <c r="D16" s="3">
        <v>6</v>
      </c>
      <c r="E16" s="3">
        <f t="shared" si="0"/>
        <v>3</v>
      </c>
      <c r="F16" s="3"/>
      <c r="G16" s="3"/>
      <c r="H16" s="3"/>
      <c r="I16" s="3"/>
      <c r="J16" s="3"/>
      <c r="K16" s="3"/>
      <c r="L16" s="8"/>
      <c r="N16" s="7">
        <f>O15</f>
        <v>30</v>
      </c>
      <c r="O16" s="3">
        <f>N16+$S$6</f>
        <v>35</v>
      </c>
      <c r="P16" s="9">
        <v>5</v>
      </c>
      <c r="Q16" s="15">
        <f t="shared" si="2"/>
        <v>2.3345558337044761</v>
      </c>
      <c r="R16" s="3"/>
      <c r="S16" s="8"/>
      <c r="U16" s="7">
        <f>V15</f>
        <v>30</v>
      </c>
      <c r="V16" s="3">
        <f>U16+$S$6</f>
        <v>35</v>
      </c>
      <c r="W16" s="3">
        <f t="shared" si="4"/>
        <v>32.5</v>
      </c>
      <c r="X16" s="9">
        <v>5</v>
      </c>
      <c r="Y16" s="3">
        <f t="shared" si="5"/>
        <v>162.5</v>
      </c>
      <c r="Z16" s="3">
        <f t="shared" si="6"/>
        <v>6.4103728664600332E-2</v>
      </c>
      <c r="AA16" s="3">
        <f t="shared" si="7"/>
        <v>4.0553702111997721E-2</v>
      </c>
      <c r="AB16" s="3">
        <f t="shared" si="8"/>
        <v>2.3550026552602611E-2</v>
      </c>
      <c r="AC16" s="8">
        <f t="shared" si="9"/>
        <v>2.355002655260261</v>
      </c>
    </row>
    <row r="17" spans="1:31" x14ac:dyDescent="0.25">
      <c r="A17" s="1">
        <v>14</v>
      </c>
      <c r="C17" s="7"/>
      <c r="D17" s="3">
        <v>7</v>
      </c>
      <c r="E17" s="3">
        <f t="shared" si="0"/>
        <v>5</v>
      </c>
      <c r="F17" s="3"/>
      <c r="G17" s="3"/>
      <c r="H17" s="3"/>
      <c r="I17" s="3"/>
      <c r="J17" s="3"/>
      <c r="K17" s="3"/>
      <c r="L17" s="8"/>
      <c r="N17" s="7">
        <f t="shared" ref="N17:N19" si="12">O16</f>
        <v>35</v>
      </c>
      <c r="O17" s="3">
        <f t="shared" si="1"/>
        <v>40</v>
      </c>
      <c r="P17" s="9">
        <v>1</v>
      </c>
      <c r="Q17" s="15">
        <f t="shared" si="2"/>
        <v>1.4769013256503374</v>
      </c>
      <c r="R17" s="3"/>
      <c r="S17" s="8"/>
      <c r="U17" s="7">
        <f t="shared" ref="U17:U19" si="13">V16</f>
        <v>35</v>
      </c>
      <c r="V17" s="3">
        <f t="shared" si="3"/>
        <v>40</v>
      </c>
      <c r="W17" s="3">
        <f t="shared" si="4"/>
        <v>37.5</v>
      </c>
      <c r="X17" s="9">
        <v>1</v>
      </c>
      <c r="Y17" s="3">
        <f t="shared" si="5"/>
        <v>37.5</v>
      </c>
      <c r="Z17" s="3">
        <f t="shared" si="6"/>
        <v>4.0553702111997721E-2</v>
      </c>
      <c r="AA17" s="3">
        <f t="shared" si="7"/>
        <v>2.5655336893013494E-2</v>
      </c>
      <c r="AB17" s="3">
        <f t="shared" si="8"/>
        <v>1.4898365218984227E-2</v>
      </c>
      <c r="AC17" s="8">
        <f t="shared" si="9"/>
        <v>1.4898365218984226</v>
      </c>
    </row>
    <row r="18" spans="1:31" x14ac:dyDescent="0.25">
      <c r="A18" s="1">
        <v>0</v>
      </c>
      <c r="C18" s="7"/>
      <c r="D18" s="3">
        <v>8</v>
      </c>
      <c r="E18" s="3">
        <f t="shared" si="0"/>
        <v>6</v>
      </c>
      <c r="F18" s="3"/>
      <c r="G18" s="3"/>
      <c r="H18" s="3"/>
      <c r="I18" s="3"/>
      <c r="J18" s="3"/>
      <c r="K18" s="3"/>
      <c r="L18" s="8"/>
      <c r="N18" s="7">
        <f t="shared" si="12"/>
        <v>40</v>
      </c>
      <c r="O18" s="3">
        <f t="shared" si="1"/>
        <v>45</v>
      </c>
      <c r="P18" s="9">
        <v>1</v>
      </c>
      <c r="Q18" s="15">
        <f t="shared" si="2"/>
        <v>0.93432656191671959</v>
      </c>
      <c r="R18" s="3"/>
      <c r="S18" s="8"/>
      <c r="U18" s="7">
        <f t="shared" si="13"/>
        <v>40</v>
      </c>
      <c r="V18" s="3">
        <f t="shared" si="3"/>
        <v>45</v>
      </c>
      <c r="W18" s="3">
        <f t="shared" si="4"/>
        <v>42.5</v>
      </c>
      <c r="X18" s="9">
        <v>1</v>
      </c>
      <c r="Y18" s="3">
        <f t="shared" si="5"/>
        <v>42.5</v>
      </c>
      <c r="Z18" s="3">
        <f>EXP(-$V$21 *U18)</f>
        <v>2.5655336893013494E-2</v>
      </c>
      <c r="AA18" s="3">
        <f>EXP(-$V$21 *V18)</f>
        <v>1.6230239825608762E-2</v>
      </c>
      <c r="AB18" s="3">
        <f t="shared" si="8"/>
        <v>9.4250970674047314E-3</v>
      </c>
      <c r="AC18" s="8">
        <f t="shared" si="9"/>
        <v>0.94250970674047319</v>
      </c>
    </row>
    <row r="19" spans="1:31" x14ac:dyDescent="0.25">
      <c r="A19" s="1">
        <v>14</v>
      </c>
      <c r="C19" s="7"/>
      <c r="D19" s="3">
        <v>9</v>
      </c>
      <c r="E19" s="3">
        <f t="shared" si="0"/>
        <v>4</v>
      </c>
      <c r="F19" s="3"/>
      <c r="G19" s="3"/>
      <c r="H19" s="3"/>
      <c r="I19" s="3"/>
      <c r="J19" s="3"/>
      <c r="K19" s="3"/>
      <c r="L19" s="8"/>
      <c r="N19" s="7">
        <f t="shared" si="12"/>
        <v>45</v>
      </c>
      <c r="O19" s="3">
        <f t="shared" si="1"/>
        <v>50</v>
      </c>
      <c r="P19" s="9">
        <v>1</v>
      </c>
      <c r="Q19" s="15">
        <f t="shared" si="2"/>
        <v>0.59107951840906969</v>
      </c>
      <c r="R19" s="3"/>
      <c r="S19" s="8"/>
      <c r="U19" s="7">
        <f t="shared" si="13"/>
        <v>45</v>
      </c>
      <c r="V19" s="3">
        <f t="shared" si="3"/>
        <v>50</v>
      </c>
      <c r="W19" s="3">
        <f t="shared" si="4"/>
        <v>47.5</v>
      </c>
      <c r="X19" s="9">
        <v>1</v>
      </c>
      <c r="Y19" s="3">
        <f t="shared" si="5"/>
        <v>47.5</v>
      </c>
      <c r="Z19" s="3">
        <f t="shared" si="6"/>
        <v>1.6230239825608762E-2</v>
      </c>
      <c r="AA19" s="3">
        <f t="shared" si="7"/>
        <v>1.0267675918475732E-2</v>
      </c>
      <c r="AB19" s="3">
        <f t="shared" si="8"/>
        <v>5.9625639071330307E-3</v>
      </c>
      <c r="AC19" s="8">
        <f>AB19*$C$2</f>
        <v>0.59625639071330305</v>
      </c>
    </row>
    <row r="20" spans="1:31" x14ac:dyDescent="0.25">
      <c r="A20" s="1">
        <v>12</v>
      </c>
      <c r="C20" s="7"/>
      <c r="D20" s="3">
        <v>10</v>
      </c>
      <c r="E20" s="3">
        <f t="shared" si="0"/>
        <v>4</v>
      </c>
      <c r="F20" s="3"/>
      <c r="G20" s="3"/>
      <c r="H20" s="3"/>
      <c r="I20" s="3"/>
      <c r="J20" s="3"/>
      <c r="K20" s="3"/>
      <c r="L20" s="8"/>
      <c r="N20" s="7"/>
      <c r="O20" s="3"/>
      <c r="P20" s="3"/>
      <c r="Q20" s="3"/>
      <c r="R20" s="3"/>
      <c r="S20" s="8"/>
      <c r="U20" s="7"/>
      <c r="V20" s="3"/>
      <c r="W20" s="3"/>
      <c r="X20" s="3"/>
      <c r="Y20" s="3"/>
      <c r="Z20" s="3"/>
      <c r="AA20" s="3"/>
      <c r="AB20" s="3"/>
      <c r="AC20" s="8"/>
    </row>
    <row r="21" spans="1:31" ht="15.75" thickBot="1" x14ac:dyDescent="0.3">
      <c r="A21" s="1">
        <v>13</v>
      </c>
      <c r="C21" s="7"/>
      <c r="D21" s="3">
        <v>11</v>
      </c>
      <c r="E21" s="3">
        <f t="shared" si="0"/>
        <v>2</v>
      </c>
      <c r="F21" s="3"/>
      <c r="G21" s="3"/>
      <c r="H21" s="3"/>
      <c r="I21" s="3"/>
      <c r="J21" s="3"/>
      <c r="K21" s="3"/>
      <c r="L21" s="8"/>
      <c r="N21" s="32" t="s">
        <v>27</v>
      </c>
      <c r="O21" s="33"/>
      <c r="P21" s="33"/>
      <c r="Q21" s="11"/>
      <c r="R21" s="11"/>
      <c r="S21" s="12"/>
      <c r="U21" s="10" t="s">
        <v>34</v>
      </c>
      <c r="V21" s="11">
        <f>1/O2</f>
        <v>9.1575091575091569E-2</v>
      </c>
      <c r="W21" s="11"/>
      <c r="X21" s="11"/>
      <c r="Y21" s="11"/>
      <c r="Z21" s="11"/>
      <c r="AA21" s="11"/>
      <c r="AB21" s="11"/>
      <c r="AC21" s="12"/>
    </row>
    <row r="22" spans="1:31" x14ac:dyDescent="0.25">
      <c r="A22" s="1">
        <v>6</v>
      </c>
      <c r="C22" s="7"/>
      <c r="D22" s="3">
        <v>12</v>
      </c>
      <c r="E22" s="3">
        <f t="shared" si="0"/>
        <v>1</v>
      </c>
      <c r="F22" s="3"/>
      <c r="G22" s="3"/>
      <c r="H22" s="3"/>
      <c r="I22" s="3"/>
      <c r="J22" s="3"/>
      <c r="K22" s="3"/>
      <c r="L22" s="8"/>
      <c r="N22" s="3"/>
      <c r="O22" s="3"/>
      <c r="P22" s="3"/>
      <c r="Q22" s="3"/>
      <c r="R22" s="3"/>
      <c r="S22" s="3"/>
      <c r="U22" s="3"/>
      <c r="V22" s="3"/>
      <c r="W22" s="3"/>
      <c r="X22" s="3"/>
      <c r="Y22" s="3"/>
      <c r="Z22" s="3"/>
      <c r="AA22" s="3"/>
    </row>
    <row r="23" spans="1:31" x14ac:dyDescent="0.25">
      <c r="A23" s="1">
        <v>7</v>
      </c>
      <c r="C23" s="7"/>
      <c r="D23" s="3">
        <v>13</v>
      </c>
      <c r="E23" s="3">
        <f t="shared" si="0"/>
        <v>5</v>
      </c>
      <c r="F23" s="3"/>
      <c r="G23" s="3"/>
      <c r="H23" s="3"/>
      <c r="I23" s="3"/>
      <c r="J23" s="3"/>
      <c r="K23" s="3"/>
      <c r="L23" s="8"/>
      <c r="N23" s="3"/>
      <c r="O23" s="3"/>
      <c r="P23" s="3"/>
      <c r="Q23" s="3"/>
      <c r="R23" s="3"/>
      <c r="S23" s="3"/>
      <c r="U23" s="3"/>
      <c r="V23" s="3"/>
      <c r="W23" s="3"/>
      <c r="X23" s="3"/>
      <c r="Y23" s="3"/>
      <c r="Z23" s="3"/>
      <c r="AA23" s="3"/>
    </row>
    <row r="24" spans="1:31" x14ac:dyDescent="0.25">
      <c r="A24" s="1">
        <v>27</v>
      </c>
      <c r="C24" s="7"/>
      <c r="D24" s="3">
        <v>14</v>
      </c>
      <c r="E24" s="3">
        <f t="shared" si="0"/>
        <v>4</v>
      </c>
      <c r="F24" s="3"/>
      <c r="G24" s="3"/>
      <c r="H24" s="3"/>
      <c r="I24" s="3"/>
      <c r="J24" s="3"/>
      <c r="K24" s="3"/>
      <c r="L24" s="8"/>
      <c r="N24" s="3"/>
      <c r="O24" s="3"/>
      <c r="U24" s="3"/>
      <c r="V24" s="3"/>
      <c r="W24" s="3"/>
      <c r="X24" s="3"/>
      <c r="Y24" s="3"/>
      <c r="Z24" s="3"/>
      <c r="AA24" s="3"/>
    </row>
    <row r="25" spans="1:31" ht="15.75" thickBot="1" x14ac:dyDescent="0.3">
      <c r="A25" s="1">
        <v>3</v>
      </c>
      <c r="C25" s="7"/>
      <c r="D25" s="3">
        <v>15</v>
      </c>
      <c r="E25" s="3">
        <f t="shared" si="0"/>
        <v>2</v>
      </c>
      <c r="F25" s="3"/>
      <c r="G25" s="3"/>
      <c r="H25" s="3"/>
      <c r="I25" s="3"/>
      <c r="J25" s="3"/>
      <c r="K25" s="3"/>
      <c r="L25" s="8"/>
      <c r="N25" s="3"/>
      <c r="O25" s="3"/>
      <c r="U25" s="3"/>
      <c r="V25" s="3"/>
      <c r="W25" s="3"/>
      <c r="X25" s="3"/>
      <c r="Y25" s="3"/>
      <c r="Z25" s="3"/>
      <c r="AA25" s="3"/>
    </row>
    <row r="26" spans="1:31" x14ac:dyDescent="0.25">
      <c r="A26" s="1">
        <v>10</v>
      </c>
      <c r="C26" s="7"/>
      <c r="D26" s="3">
        <v>16</v>
      </c>
      <c r="E26" s="3">
        <f t="shared" si="0"/>
        <v>2</v>
      </c>
      <c r="F26" s="3"/>
      <c r="G26" s="3"/>
      <c r="H26" s="3"/>
      <c r="I26" s="3"/>
      <c r="J26" s="3"/>
      <c r="K26" s="3"/>
      <c r="L26" s="8"/>
      <c r="N26" s="3"/>
      <c r="O26" s="3"/>
      <c r="U26" s="4" t="s">
        <v>23</v>
      </c>
      <c r="V26" s="5" t="s">
        <v>24</v>
      </c>
      <c r="W26" s="5" t="s">
        <v>32</v>
      </c>
      <c r="X26" s="5" t="s">
        <v>38</v>
      </c>
      <c r="Y26" s="5" t="s">
        <v>39</v>
      </c>
      <c r="Z26" s="5"/>
      <c r="AA26" s="5"/>
      <c r="AB26" s="5"/>
      <c r="AC26" s="5"/>
      <c r="AD26" s="5"/>
      <c r="AE26" s="6"/>
    </row>
    <row r="27" spans="1:31" x14ac:dyDescent="0.25">
      <c r="A27" s="1">
        <v>8</v>
      </c>
      <c r="C27" s="7"/>
      <c r="D27" s="3">
        <v>18</v>
      </c>
      <c r="E27" s="3">
        <f t="shared" si="0"/>
        <v>2</v>
      </c>
      <c r="F27" s="3"/>
      <c r="G27" s="3"/>
      <c r="H27" s="3"/>
      <c r="I27" s="3"/>
      <c r="J27" s="3"/>
      <c r="K27" s="3"/>
      <c r="L27" s="8"/>
      <c r="N27" s="3"/>
      <c r="O27" s="3"/>
      <c r="U27" s="7">
        <f>K27</f>
        <v>0</v>
      </c>
      <c r="V27" s="3">
        <f>U27+$S$6</f>
        <v>5</v>
      </c>
      <c r="W27" s="3">
        <f>X10</f>
        <v>39</v>
      </c>
      <c r="X27" s="3">
        <f>AC10</f>
        <v>36.737374008023238</v>
      </c>
      <c r="Y27" s="3">
        <f>(W27-X27)^2/X27</f>
        <v>0.13935335656954578</v>
      </c>
      <c r="Z27" s="3"/>
      <c r="AA27" s="3"/>
      <c r="AB27" s="3"/>
      <c r="AC27" s="3"/>
      <c r="AD27" s="3"/>
      <c r="AE27" s="8"/>
    </row>
    <row r="28" spans="1:31" x14ac:dyDescent="0.25">
      <c r="A28" s="1">
        <v>30</v>
      </c>
      <c r="C28" s="7"/>
      <c r="D28" s="3">
        <v>19</v>
      </c>
      <c r="E28" s="3">
        <f t="shared" si="0"/>
        <v>2</v>
      </c>
      <c r="F28" s="3"/>
      <c r="G28" s="3"/>
      <c r="H28" s="3"/>
      <c r="I28" s="3"/>
      <c r="J28" s="3"/>
      <c r="K28" s="3"/>
      <c r="L28" s="8"/>
      <c r="N28" s="3"/>
      <c r="O28" s="3"/>
      <c r="U28" s="7">
        <f>V27</f>
        <v>5</v>
      </c>
      <c r="V28" s="3">
        <f t="shared" ref="V28:V31" si="14">U28+$S$6</f>
        <v>10</v>
      </c>
      <c r="W28" s="3">
        <f t="shared" ref="W28:W31" si="15">X11</f>
        <v>26</v>
      </c>
      <c r="X28" s="3">
        <f t="shared" ref="X28:X31" si="16">AC11</f>
        <v>23.241027517969421</v>
      </c>
      <c r="Y28" s="15">
        <f t="shared" ref="Y28:Y31" si="17">(W28-X28)^2/X28</f>
        <v>0.3275211971896082</v>
      </c>
      <c r="Z28" s="3"/>
      <c r="AA28" s="3"/>
      <c r="AB28" s="3"/>
      <c r="AC28" s="3"/>
      <c r="AD28" s="3"/>
      <c r="AE28" s="8"/>
    </row>
    <row r="29" spans="1:31" x14ac:dyDescent="0.25">
      <c r="A29" s="1">
        <v>8</v>
      </c>
      <c r="C29" s="7"/>
      <c r="D29" s="3">
        <v>20</v>
      </c>
      <c r="E29" s="3">
        <f t="shared" si="0"/>
        <v>2</v>
      </c>
      <c r="F29" s="3"/>
      <c r="G29" s="3"/>
      <c r="H29" s="3"/>
      <c r="I29" s="3"/>
      <c r="J29" s="3"/>
      <c r="K29" s="3"/>
      <c r="L29" s="8"/>
      <c r="N29" s="3"/>
      <c r="O29" s="3"/>
      <c r="U29" s="7">
        <f t="shared" ref="U29:U32" si="18">V28</f>
        <v>10</v>
      </c>
      <c r="V29" s="3">
        <f t="shared" si="14"/>
        <v>15</v>
      </c>
      <c r="W29" s="3">
        <f t="shared" si="15"/>
        <v>18</v>
      </c>
      <c r="X29" s="3">
        <f t="shared" si="16"/>
        <v>14.702884315385401</v>
      </c>
      <c r="Y29" s="15">
        <f t="shared" si="17"/>
        <v>0.73937681916982712</v>
      </c>
      <c r="Z29" s="3"/>
      <c r="AA29" s="3"/>
      <c r="AB29" s="3"/>
      <c r="AC29" s="3"/>
      <c r="AD29" s="3"/>
      <c r="AE29" s="8"/>
    </row>
    <row r="30" spans="1:31" x14ac:dyDescent="0.25">
      <c r="A30" s="1">
        <v>18</v>
      </c>
      <c r="C30" s="7"/>
      <c r="D30" s="3">
        <v>21</v>
      </c>
      <c r="E30" s="3">
        <f t="shared" si="0"/>
        <v>1</v>
      </c>
      <c r="F30" s="3"/>
      <c r="G30" s="3"/>
      <c r="H30" s="3"/>
      <c r="I30" s="3"/>
      <c r="J30" s="3"/>
      <c r="K30" s="3"/>
      <c r="L30" s="8"/>
      <c r="N30" s="3"/>
      <c r="O30" s="3"/>
      <c r="U30" s="7">
        <f t="shared" si="18"/>
        <v>15</v>
      </c>
      <c r="V30" s="3">
        <f t="shared" si="14"/>
        <v>20</v>
      </c>
      <c r="W30" s="3">
        <f t="shared" si="15"/>
        <v>10</v>
      </c>
      <c r="X30" s="3">
        <f t="shared" si="16"/>
        <v>9.3014307144752735</v>
      </c>
      <c r="Y30" s="15">
        <f t="shared" si="17"/>
        <v>5.246494455085092E-2</v>
      </c>
      <c r="Z30" s="3"/>
      <c r="AA30" s="3"/>
      <c r="AB30" s="3"/>
      <c r="AC30" s="3"/>
      <c r="AD30" s="3"/>
      <c r="AE30" s="8"/>
    </row>
    <row r="31" spans="1:31" x14ac:dyDescent="0.25">
      <c r="A31" s="1">
        <v>1</v>
      </c>
      <c r="C31" s="7"/>
      <c r="D31" s="3">
        <v>22</v>
      </c>
      <c r="E31" s="3">
        <f t="shared" si="0"/>
        <v>1</v>
      </c>
      <c r="F31" s="3"/>
      <c r="G31" s="3"/>
      <c r="H31" s="3"/>
      <c r="I31" s="3"/>
      <c r="J31" s="3"/>
      <c r="K31" s="3"/>
      <c r="L31" s="8"/>
      <c r="N31" s="3"/>
      <c r="O31" s="3"/>
      <c r="U31" s="7">
        <f t="shared" si="18"/>
        <v>20</v>
      </c>
      <c r="V31" s="3">
        <f t="shared" si="14"/>
        <v>25</v>
      </c>
      <c r="W31" s="3">
        <f t="shared" si="15"/>
        <v>8</v>
      </c>
      <c r="X31" s="3">
        <f t="shared" si="16"/>
        <v>5.884329324801346</v>
      </c>
      <c r="Y31" s="15">
        <f t="shared" si="17"/>
        <v>0.76067503343665077</v>
      </c>
      <c r="Z31" s="3"/>
      <c r="AA31" s="3"/>
      <c r="AB31" s="3"/>
      <c r="AC31" s="3"/>
      <c r="AD31" s="3"/>
      <c r="AE31" s="8"/>
    </row>
    <row r="32" spans="1:31" x14ac:dyDescent="0.25">
      <c r="A32" s="1">
        <v>11</v>
      </c>
      <c r="C32" s="7"/>
      <c r="D32" s="3">
        <v>23</v>
      </c>
      <c r="E32" s="3">
        <f t="shared" si="0"/>
        <v>2</v>
      </c>
      <c r="F32" s="3"/>
      <c r="G32" s="3"/>
      <c r="H32" s="3"/>
      <c r="I32" s="3"/>
      <c r="J32" s="3"/>
      <c r="K32" s="3"/>
      <c r="L32" s="8"/>
      <c r="N32" s="3"/>
      <c r="O32" s="3"/>
      <c r="U32" s="7">
        <f t="shared" si="18"/>
        <v>25</v>
      </c>
      <c r="V32" s="3">
        <f>V19</f>
        <v>50</v>
      </c>
      <c r="W32" s="3">
        <f>SUM(X15:X19)</f>
        <v>15</v>
      </c>
      <c r="X32" s="3">
        <f>SUM(AC15:AC19)</f>
        <v>9.1061865274977496</v>
      </c>
      <c r="Y32" s="15">
        <f>(W32-X32)^2/X32</f>
        <v>3.8146634866037914</v>
      </c>
      <c r="Z32" s="3"/>
      <c r="AA32" s="3"/>
      <c r="AB32" s="3"/>
      <c r="AC32" s="3"/>
      <c r="AD32" s="3"/>
      <c r="AE32" s="8"/>
    </row>
    <row r="33" spans="1:31" x14ac:dyDescent="0.25">
      <c r="A33" s="1">
        <v>1</v>
      </c>
      <c r="C33" s="7"/>
      <c r="D33" s="3">
        <v>24</v>
      </c>
      <c r="E33" s="3">
        <f t="shared" si="0"/>
        <v>1</v>
      </c>
      <c r="F33" s="3"/>
      <c r="G33" s="3"/>
      <c r="H33" s="3"/>
      <c r="I33" s="3"/>
      <c r="J33" s="3"/>
      <c r="K33" s="3"/>
      <c r="L33" s="8"/>
      <c r="N33" s="3"/>
      <c r="O33" s="3"/>
      <c r="U33" s="7"/>
      <c r="Z33" s="3"/>
      <c r="AA33" s="3"/>
      <c r="AB33" s="3"/>
      <c r="AC33" s="3"/>
      <c r="AD33" s="3"/>
      <c r="AE33" s="8"/>
    </row>
    <row r="34" spans="1:31" x14ac:dyDescent="0.25">
      <c r="A34" s="1">
        <v>0</v>
      </c>
      <c r="C34" s="7"/>
      <c r="D34" s="3">
        <v>25</v>
      </c>
      <c r="E34" s="3">
        <f t="shared" si="0"/>
        <v>1</v>
      </c>
      <c r="F34" s="3"/>
      <c r="G34" s="3"/>
      <c r="H34" s="3"/>
      <c r="I34" s="3"/>
      <c r="J34" s="3"/>
      <c r="K34" s="3"/>
      <c r="L34" s="8"/>
      <c r="N34" s="3"/>
      <c r="O34" s="3"/>
      <c r="U34" s="7"/>
      <c r="V34" s="3"/>
      <c r="W34" s="3"/>
      <c r="X34" s="3"/>
      <c r="Y34" s="15"/>
      <c r="Z34" s="3"/>
      <c r="AA34" s="3"/>
      <c r="AB34" s="3"/>
      <c r="AC34" s="3"/>
      <c r="AD34" s="3"/>
      <c r="AE34" s="8"/>
    </row>
    <row r="35" spans="1:31" x14ac:dyDescent="0.25">
      <c r="A35" s="1">
        <v>15</v>
      </c>
      <c r="C35" s="7"/>
      <c r="D35" s="3">
        <v>26</v>
      </c>
      <c r="E35" s="3">
        <f t="shared" si="0"/>
        <v>1</v>
      </c>
      <c r="F35" s="3"/>
      <c r="G35" s="3"/>
      <c r="H35" s="3"/>
      <c r="I35" s="3"/>
      <c r="J35" s="3"/>
      <c r="K35" s="3"/>
      <c r="L35" s="8"/>
      <c r="N35" s="3"/>
      <c r="O35" s="3"/>
      <c r="U35" s="7"/>
      <c r="V35" s="3"/>
      <c r="W35" s="3"/>
      <c r="X35" s="3"/>
      <c r="Y35" s="3"/>
      <c r="Z35" s="3"/>
      <c r="AA35" s="3"/>
      <c r="AB35" s="3"/>
      <c r="AC35" s="3"/>
      <c r="AD35" s="3"/>
      <c r="AE35" s="8"/>
    </row>
    <row r="36" spans="1:31" x14ac:dyDescent="0.25">
      <c r="A36" s="1">
        <v>41</v>
      </c>
      <c r="C36" s="7"/>
      <c r="D36" s="3">
        <v>27</v>
      </c>
      <c r="E36" s="3">
        <f t="shared" si="0"/>
        <v>1</v>
      </c>
      <c r="F36" s="3"/>
      <c r="G36" s="3"/>
      <c r="H36" s="3"/>
      <c r="I36" s="3"/>
      <c r="J36" s="3"/>
      <c r="K36" s="3"/>
      <c r="L36" s="8"/>
      <c r="N36" s="3"/>
      <c r="O36" s="3"/>
      <c r="U36" s="7" t="s">
        <v>40</v>
      </c>
      <c r="V36" s="3">
        <f>SUM(Y27:Y32)</f>
        <v>5.8340548375202737</v>
      </c>
      <c r="W36" s="3" t="s">
        <v>42</v>
      </c>
      <c r="X36" s="3" t="s">
        <v>41</v>
      </c>
      <c r="Y36" s="3">
        <f>_xlfn.CHISQ.INV.RT(0.1,6-1-1)</f>
        <v>7.7794403397348582</v>
      </c>
      <c r="Z36" s="3"/>
      <c r="AA36" s="3"/>
      <c r="AB36" s="3"/>
      <c r="AC36" s="3"/>
      <c r="AD36" s="3"/>
      <c r="AE36" s="8"/>
    </row>
    <row r="37" spans="1:31" x14ac:dyDescent="0.25">
      <c r="A37" s="1">
        <v>5</v>
      </c>
      <c r="C37" s="7"/>
      <c r="D37" s="3">
        <v>28</v>
      </c>
      <c r="E37" s="3">
        <f t="shared" si="0"/>
        <v>1</v>
      </c>
      <c r="F37" s="3"/>
      <c r="G37" s="3"/>
      <c r="H37" s="3"/>
      <c r="I37" s="3"/>
      <c r="J37" s="3"/>
      <c r="K37" s="3"/>
      <c r="L37" s="8"/>
      <c r="N37" s="3"/>
      <c r="O37" s="3"/>
      <c r="U37" s="7"/>
      <c r="V37" s="3"/>
      <c r="W37" s="3"/>
      <c r="X37" s="3"/>
      <c r="Y37" s="3"/>
      <c r="Z37" s="3" t="s">
        <v>43</v>
      </c>
      <c r="AA37" s="3"/>
      <c r="AB37" s="3"/>
      <c r="AC37" s="3"/>
      <c r="AD37" s="3"/>
      <c r="AE37" s="8"/>
    </row>
    <row r="38" spans="1:31" x14ac:dyDescent="0.25">
      <c r="A38" s="1">
        <v>19</v>
      </c>
      <c r="C38" s="7"/>
      <c r="D38" s="3">
        <v>30</v>
      </c>
      <c r="E38" s="3">
        <f t="shared" si="0"/>
        <v>3</v>
      </c>
      <c r="F38" s="3"/>
      <c r="G38" s="3"/>
      <c r="H38" s="3"/>
      <c r="I38" s="3"/>
      <c r="J38" s="3"/>
      <c r="K38" s="3"/>
      <c r="L38" s="8"/>
      <c r="N38" s="3"/>
      <c r="O38" s="3"/>
      <c r="U38" s="7" t="s">
        <v>44</v>
      </c>
      <c r="V38" s="3"/>
      <c r="W38" s="3"/>
      <c r="X38" s="3"/>
      <c r="Y38" s="3"/>
      <c r="Z38" s="3"/>
      <c r="AA38" s="3"/>
      <c r="AB38" s="3"/>
      <c r="AC38" s="3"/>
      <c r="AD38" s="3"/>
      <c r="AE38" s="8"/>
    </row>
    <row r="39" spans="1:31" x14ac:dyDescent="0.25">
      <c r="A39" s="1">
        <v>10</v>
      </c>
      <c r="C39" s="7"/>
      <c r="D39" s="3">
        <v>33</v>
      </c>
      <c r="E39" s="3">
        <f t="shared" si="0"/>
        <v>1</v>
      </c>
      <c r="F39" s="3"/>
      <c r="G39" s="3"/>
      <c r="H39" s="3"/>
      <c r="I39" s="3"/>
      <c r="J39" s="3"/>
      <c r="K39" s="3"/>
      <c r="L39" s="8"/>
      <c r="N39" s="3"/>
      <c r="O39" s="3"/>
      <c r="U39" s="7">
        <f>_xlfn.CHISQ.DIST.RT(V36,6-1-1)</f>
        <v>0.21188865296255713</v>
      </c>
      <c r="V39" s="3" t="s">
        <v>46</v>
      </c>
      <c r="W39" s="3"/>
      <c r="X39" s="3"/>
      <c r="Y39" s="3"/>
      <c r="Z39" s="3"/>
      <c r="AA39" s="3"/>
      <c r="AB39" s="3"/>
      <c r="AC39" s="3"/>
      <c r="AD39" s="3"/>
      <c r="AE39" s="8"/>
    </row>
    <row r="40" spans="1:31" ht="15.75" thickBot="1" x14ac:dyDescent="0.3">
      <c r="A40" s="1">
        <v>25</v>
      </c>
      <c r="C40" s="7"/>
      <c r="D40" s="3">
        <v>34</v>
      </c>
      <c r="E40" s="3">
        <f t="shared" si="0"/>
        <v>1</v>
      </c>
      <c r="F40" s="3"/>
      <c r="G40" s="3"/>
      <c r="H40" s="3"/>
      <c r="I40" s="3"/>
      <c r="J40" s="3"/>
      <c r="K40" s="3"/>
      <c r="L40" s="8"/>
      <c r="N40" s="3"/>
      <c r="O40" s="3"/>
      <c r="U40" s="13"/>
      <c r="V40" s="14" t="s">
        <v>45</v>
      </c>
      <c r="W40" s="14"/>
      <c r="X40" s="14"/>
      <c r="Y40" s="14"/>
      <c r="Z40" s="14"/>
      <c r="AA40" s="14"/>
      <c r="AB40" s="14"/>
      <c r="AC40" s="14"/>
      <c r="AD40" s="14"/>
      <c r="AE40" s="12"/>
    </row>
    <row r="41" spans="1:31" x14ac:dyDescent="0.25">
      <c r="A41" s="1">
        <v>0</v>
      </c>
      <c r="C41" s="7"/>
      <c r="D41" s="3">
        <v>37</v>
      </c>
      <c r="E41" s="3">
        <f t="shared" si="0"/>
        <v>1</v>
      </c>
      <c r="F41" s="3"/>
      <c r="G41" s="3"/>
      <c r="H41" s="3"/>
      <c r="I41" s="3"/>
      <c r="J41" s="3"/>
      <c r="K41" s="3"/>
      <c r="L41" s="8"/>
      <c r="N41" s="3"/>
      <c r="O41" s="3"/>
    </row>
    <row r="42" spans="1:31" x14ac:dyDescent="0.25">
      <c r="A42" s="1">
        <v>20</v>
      </c>
      <c r="C42" s="7"/>
      <c r="D42" s="3">
        <v>41</v>
      </c>
      <c r="E42" s="3">
        <f t="shared" si="0"/>
        <v>1</v>
      </c>
      <c r="F42" s="3"/>
      <c r="G42" s="3"/>
      <c r="H42" s="3"/>
      <c r="I42" s="3"/>
      <c r="J42" s="3"/>
      <c r="K42" s="3"/>
      <c r="L42" s="8"/>
      <c r="N42" s="3"/>
      <c r="O42" s="3"/>
    </row>
    <row r="43" spans="1:31" ht="15.75" thickBot="1" x14ac:dyDescent="0.3">
      <c r="A43" s="1">
        <v>21</v>
      </c>
      <c r="C43" s="10"/>
      <c r="D43" s="11">
        <v>50</v>
      </c>
      <c r="E43" s="11">
        <f t="shared" si="0"/>
        <v>1</v>
      </c>
      <c r="F43" s="11"/>
      <c r="G43" s="11"/>
      <c r="H43" s="11"/>
      <c r="I43" s="11"/>
      <c r="J43" s="11"/>
      <c r="K43" s="11"/>
      <c r="L43" s="12"/>
      <c r="N43" s="3"/>
      <c r="O43" s="3"/>
    </row>
    <row r="44" spans="1:31" x14ac:dyDescent="0.25">
      <c r="A44" s="1">
        <v>2</v>
      </c>
    </row>
    <row r="45" spans="1:31" x14ac:dyDescent="0.25">
      <c r="A45" s="1">
        <v>9</v>
      </c>
    </row>
    <row r="46" spans="1:31" x14ac:dyDescent="0.25">
      <c r="A46" s="1">
        <v>0</v>
      </c>
    </row>
    <row r="47" spans="1:31" x14ac:dyDescent="0.25">
      <c r="A47" s="1">
        <v>0</v>
      </c>
    </row>
    <row r="48" spans="1:31" x14ac:dyDescent="0.25">
      <c r="A48" s="1">
        <v>3</v>
      </c>
    </row>
    <row r="49" spans="1:1" x14ac:dyDescent="0.25">
      <c r="A49" s="1">
        <v>15</v>
      </c>
    </row>
    <row r="50" spans="1:1" x14ac:dyDescent="0.25">
      <c r="A50" s="1">
        <v>20</v>
      </c>
    </row>
    <row r="51" spans="1:1" x14ac:dyDescent="0.25">
      <c r="A51" s="1">
        <v>1</v>
      </c>
    </row>
    <row r="52" spans="1:1" x14ac:dyDescent="0.25">
      <c r="A52" s="1">
        <v>26</v>
      </c>
    </row>
    <row r="53" spans="1:1" x14ac:dyDescent="0.25">
      <c r="A53" s="1">
        <v>2</v>
      </c>
    </row>
    <row r="54" spans="1:1" x14ac:dyDescent="0.25">
      <c r="A54" s="1">
        <v>11</v>
      </c>
    </row>
    <row r="55" spans="1:1" x14ac:dyDescent="0.25">
      <c r="A55" s="1">
        <v>13</v>
      </c>
    </row>
    <row r="56" spans="1:1" x14ac:dyDescent="0.25">
      <c r="A56" s="1">
        <v>24</v>
      </c>
    </row>
    <row r="57" spans="1:1" x14ac:dyDescent="0.25">
      <c r="A57" s="1">
        <v>34</v>
      </c>
    </row>
    <row r="58" spans="1:1" x14ac:dyDescent="0.25">
      <c r="A58" s="1">
        <v>0</v>
      </c>
    </row>
    <row r="59" spans="1:1" x14ac:dyDescent="0.25">
      <c r="A59" s="1">
        <v>1</v>
      </c>
    </row>
    <row r="60" spans="1:1" x14ac:dyDescent="0.25">
      <c r="A60" s="1">
        <v>5</v>
      </c>
    </row>
    <row r="61" spans="1:1" x14ac:dyDescent="0.25">
      <c r="A61" s="1">
        <v>2</v>
      </c>
    </row>
    <row r="62" spans="1:1" x14ac:dyDescent="0.25">
      <c r="A62" s="1">
        <v>28</v>
      </c>
    </row>
    <row r="63" spans="1:1" x14ac:dyDescent="0.25">
      <c r="A63" s="1">
        <v>6</v>
      </c>
    </row>
    <row r="64" spans="1:1" x14ac:dyDescent="0.25">
      <c r="A64" s="1">
        <v>7</v>
      </c>
    </row>
    <row r="65" spans="1:1" x14ac:dyDescent="0.25">
      <c r="A65" s="1">
        <v>6</v>
      </c>
    </row>
    <row r="66" spans="1:1" x14ac:dyDescent="0.25">
      <c r="A66" s="1">
        <v>0</v>
      </c>
    </row>
    <row r="67" spans="1:1" x14ac:dyDescent="0.25">
      <c r="A67" s="1">
        <v>14</v>
      </c>
    </row>
    <row r="68" spans="1:1" x14ac:dyDescent="0.25">
      <c r="A68" s="1">
        <v>2</v>
      </c>
    </row>
    <row r="69" spans="1:1" x14ac:dyDescent="0.25">
      <c r="A69" s="1">
        <v>10</v>
      </c>
    </row>
    <row r="70" spans="1:1" x14ac:dyDescent="0.25">
      <c r="A70" s="1">
        <v>4</v>
      </c>
    </row>
    <row r="71" spans="1:1" x14ac:dyDescent="0.25">
      <c r="A71" s="1">
        <v>30</v>
      </c>
    </row>
    <row r="72" spans="1:1" x14ac:dyDescent="0.25">
      <c r="A72" s="1">
        <v>1</v>
      </c>
    </row>
    <row r="73" spans="1:1" x14ac:dyDescent="0.25">
      <c r="A73" s="1">
        <v>1</v>
      </c>
    </row>
    <row r="74" spans="1:1" x14ac:dyDescent="0.25">
      <c r="A74" s="1">
        <v>3</v>
      </c>
    </row>
    <row r="75" spans="1:1" x14ac:dyDescent="0.25">
      <c r="A75" s="1">
        <v>7</v>
      </c>
    </row>
    <row r="76" spans="1:1" x14ac:dyDescent="0.25">
      <c r="A76" s="1">
        <v>2</v>
      </c>
    </row>
    <row r="77" spans="1:1" x14ac:dyDescent="0.25">
      <c r="A77" s="1">
        <v>13</v>
      </c>
    </row>
    <row r="78" spans="1:1" x14ac:dyDescent="0.25">
      <c r="A78" s="1">
        <v>23</v>
      </c>
    </row>
    <row r="79" spans="1:1" x14ac:dyDescent="0.25">
      <c r="A79" s="1">
        <v>3</v>
      </c>
    </row>
    <row r="80" spans="1:1" x14ac:dyDescent="0.25">
      <c r="A80" s="1">
        <v>4</v>
      </c>
    </row>
    <row r="81" spans="1:1" x14ac:dyDescent="0.25">
      <c r="A81" s="1">
        <v>13</v>
      </c>
    </row>
    <row r="82" spans="1:1" x14ac:dyDescent="0.25">
      <c r="A82" s="1">
        <v>19</v>
      </c>
    </row>
    <row r="83" spans="1:1" x14ac:dyDescent="0.25">
      <c r="A83" s="1">
        <v>16</v>
      </c>
    </row>
    <row r="84" spans="1:1" x14ac:dyDescent="0.25">
      <c r="A84" s="1">
        <v>0</v>
      </c>
    </row>
    <row r="85" spans="1:1" x14ac:dyDescent="0.25">
      <c r="A85" s="1">
        <v>8</v>
      </c>
    </row>
    <row r="86" spans="1:1" x14ac:dyDescent="0.25">
      <c r="A86" s="1">
        <v>7</v>
      </c>
    </row>
    <row r="87" spans="1:1" x14ac:dyDescent="0.25">
      <c r="A87" s="1">
        <v>13</v>
      </c>
    </row>
    <row r="88" spans="1:1" x14ac:dyDescent="0.25">
      <c r="A88" s="1">
        <v>3</v>
      </c>
    </row>
    <row r="89" spans="1:1" x14ac:dyDescent="0.25">
      <c r="A89" s="1">
        <v>16</v>
      </c>
    </row>
    <row r="90" spans="1:1" x14ac:dyDescent="0.25">
      <c r="A90" s="1">
        <v>18</v>
      </c>
    </row>
    <row r="91" spans="1:1" x14ac:dyDescent="0.25">
      <c r="A91" s="1">
        <v>1</v>
      </c>
    </row>
    <row r="92" spans="1:1" x14ac:dyDescent="0.25">
      <c r="A92" s="1">
        <v>33</v>
      </c>
    </row>
    <row r="93" spans="1:1" x14ac:dyDescent="0.25">
      <c r="A93" s="1">
        <v>3</v>
      </c>
    </row>
    <row r="94" spans="1:1" x14ac:dyDescent="0.25">
      <c r="A94" s="1">
        <v>7</v>
      </c>
    </row>
    <row r="95" spans="1:1" x14ac:dyDescent="0.25">
      <c r="A95" s="1">
        <v>9</v>
      </c>
    </row>
    <row r="96" spans="1:1" x14ac:dyDescent="0.25">
      <c r="A96" s="1">
        <v>5</v>
      </c>
    </row>
    <row r="97" spans="1:1" x14ac:dyDescent="0.25">
      <c r="A97" s="1">
        <v>30</v>
      </c>
    </row>
    <row r="98" spans="1:1" x14ac:dyDescent="0.25">
      <c r="A98" s="1">
        <v>5</v>
      </c>
    </row>
    <row r="99" spans="1:1" x14ac:dyDescent="0.25">
      <c r="A99" s="1">
        <v>0</v>
      </c>
    </row>
    <row r="100" spans="1:1" x14ac:dyDescent="0.25">
      <c r="A100" s="1">
        <v>4</v>
      </c>
    </row>
    <row r="101" spans="1:1" x14ac:dyDescent="0.25">
      <c r="A101" s="1">
        <v>2</v>
      </c>
    </row>
  </sheetData>
  <sortState ref="C5:C104">
    <sortCondition ref="C4"/>
  </sortState>
  <mergeCells count="2">
    <mergeCell ref="D8:E8"/>
    <mergeCell ref="N21:P2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72"/>
  <sheetViews>
    <sheetView tabSelected="1" topLeftCell="O40" zoomScale="85" zoomScaleNormal="85" workbookViewId="0">
      <selection activeCell="P69" sqref="P69"/>
    </sheetView>
  </sheetViews>
  <sheetFormatPr defaultRowHeight="15" x14ac:dyDescent="0.25"/>
  <cols>
    <col min="1" max="7" width="9.140625" style="1"/>
    <col min="8" max="8" width="20.5703125" style="1" customWidth="1"/>
    <col min="9" max="9" width="17.85546875" style="1" customWidth="1"/>
    <col min="10" max="10" width="19.42578125" style="1" customWidth="1"/>
    <col min="11" max="11" width="24.85546875" style="1" customWidth="1"/>
    <col min="12" max="12" width="15.5703125" style="1" customWidth="1"/>
    <col min="13" max="13" width="15.28515625" style="1" customWidth="1"/>
    <col min="14" max="14" width="13.42578125" style="1" customWidth="1"/>
    <col min="15" max="15" width="9.140625" style="1"/>
    <col min="16" max="17" width="17.28515625" style="1" customWidth="1"/>
    <col min="18" max="18" width="9.140625" style="1" customWidth="1"/>
    <col min="19" max="16384" width="9.140625" style="1"/>
  </cols>
  <sheetData>
    <row r="1" spans="1:51" x14ac:dyDescent="0.25">
      <c r="A1" s="19" t="s">
        <v>47</v>
      </c>
      <c r="B1" s="19" t="s">
        <v>48</v>
      </c>
      <c r="C1" s="19" t="s">
        <v>49</v>
      </c>
      <c r="D1" s="19" t="s">
        <v>50</v>
      </c>
      <c r="E1" s="19" t="s">
        <v>51</v>
      </c>
      <c r="I1" s="19" t="s">
        <v>47</v>
      </c>
      <c r="J1" s="19" t="s">
        <v>49</v>
      </c>
      <c r="K1" s="19" t="s">
        <v>50</v>
      </c>
      <c r="L1" s="19" t="s">
        <v>51</v>
      </c>
      <c r="N1" s="19" t="s">
        <v>47</v>
      </c>
      <c r="O1" s="19" t="s">
        <v>48</v>
      </c>
      <c r="P1" s="19" t="s">
        <v>50</v>
      </c>
      <c r="Q1" s="19" t="s">
        <v>51</v>
      </c>
      <c r="S1" s="19" t="s">
        <v>47</v>
      </c>
      <c r="T1" s="19" t="s">
        <v>48</v>
      </c>
      <c r="U1" s="19" t="s">
        <v>49</v>
      </c>
      <c r="V1" s="19" t="s">
        <v>51</v>
      </c>
      <c r="X1" s="19" t="s">
        <v>47</v>
      </c>
      <c r="Y1" s="19" t="s">
        <v>48</v>
      </c>
      <c r="Z1" s="19" t="s">
        <v>49</v>
      </c>
      <c r="AA1" s="19" t="s">
        <v>50</v>
      </c>
      <c r="AC1" s="19" t="s">
        <v>47</v>
      </c>
      <c r="AD1" s="19" t="s">
        <v>48</v>
      </c>
      <c r="AE1" s="19" t="s">
        <v>49</v>
      </c>
      <c r="AG1" s="19" t="s">
        <v>47</v>
      </c>
      <c r="AH1" s="19" t="s">
        <v>49</v>
      </c>
      <c r="AI1" s="19" t="s">
        <v>50</v>
      </c>
      <c r="AK1" s="19" t="s">
        <v>47</v>
      </c>
      <c r="AL1" s="19" t="s">
        <v>48</v>
      </c>
      <c r="AM1" s="19" t="s">
        <v>51</v>
      </c>
      <c r="AO1" s="19" t="s">
        <v>47</v>
      </c>
      <c r="AP1" s="19" t="s">
        <v>48</v>
      </c>
      <c r="AQ1" s="19" t="s">
        <v>50</v>
      </c>
      <c r="AS1" s="19" t="s">
        <v>47</v>
      </c>
      <c r="AT1" s="19" t="s">
        <v>49</v>
      </c>
      <c r="AU1" s="19" t="s">
        <v>51</v>
      </c>
      <c r="AW1" s="19" t="s">
        <v>47</v>
      </c>
      <c r="AX1" s="19" t="s">
        <v>50</v>
      </c>
      <c r="AY1" s="19" t="s">
        <v>51</v>
      </c>
    </row>
    <row r="2" spans="1:51" x14ac:dyDescent="0.25">
      <c r="A2" s="19">
        <v>144</v>
      </c>
      <c r="B2" s="19">
        <v>67</v>
      </c>
      <c r="C2" s="19">
        <v>64.5</v>
      </c>
      <c r="D2" s="19">
        <v>77</v>
      </c>
      <c r="E2" s="19">
        <v>40.799999999999997</v>
      </c>
      <c r="I2" s="19">
        <v>144</v>
      </c>
      <c r="J2" s="19">
        <v>64.5</v>
      </c>
      <c r="K2" s="19">
        <v>77</v>
      </c>
      <c r="L2" s="19">
        <v>40.799999999999997</v>
      </c>
      <c r="N2" s="19">
        <v>144</v>
      </c>
      <c r="O2" s="19">
        <v>67</v>
      </c>
      <c r="P2" s="19">
        <v>77</v>
      </c>
      <c r="Q2" s="19">
        <v>40.799999999999997</v>
      </c>
      <c r="S2" s="19">
        <v>144</v>
      </c>
      <c r="T2" s="19">
        <v>67</v>
      </c>
      <c r="U2" s="19">
        <v>64.5</v>
      </c>
      <c r="V2" s="19">
        <v>40.799999999999997</v>
      </c>
      <c r="X2" s="19">
        <v>144</v>
      </c>
      <c r="Y2" s="19">
        <v>67</v>
      </c>
      <c r="Z2" s="19">
        <v>64.5</v>
      </c>
      <c r="AA2" s="19">
        <v>77</v>
      </c>
      <c r="AC2" s="19">
        <v>144</v>
      </c>
      <c r="AD2" s="19">
        <v>67</v>
      </c>
      <c r="AE2" s="19">
        <v>64.5</v>
      </c>
      <c r="AG2" s="19">
        <v>144</v>
      </c>
      <c r="AH2" s="19">
        <v>64.5</v>
      </c>
      <c r="AI2" s="19">
        <v>77</v>
      </c>
      <c r="AK2" s="19">
        <v>144</v>
      </c>
      <c r="AL2" s="19">
        <v>67</v>
      </c>
      <c r="AM2" s="19">
        <v>40.799999999999997</v>
      </c>
      <c r="AO2" s="19">
        <v>144</v>
      </c>
      <c r="AP2" s="19">
        <v>67</v>
      </c>
      <c r="AQ2" s="19">
        <v>77</v>
      </c>
      <c r="AS2" s="19">
        <v>144</v>
      </c>
      <c r="AT2" s="19">
        <v>64.5</v>
      </c>
      <c r="AU2" s="19">
        <v>40.799999999999997</v>
      </c>
      <c r="AW2" s="19">
        <v>144</v>
      </c>
      <c r="AX2" s="19">
        <v>77</v>
      </c>
      <c r="AY2" s="19">
        <v>40.799999999999997</v>
      </c>
    </row>
    <row r="3" spans="1:51" x14ac:dyDescent="0.25">
      <c r="A3" s="19">
        <v>161</v>
      </c>
      <c r="B3" s="19">
        <v>71</v>
      </c>
      <c r="C3" s="19">
        <v>79.2</v>
      </c>
      <c r="D3" s="19">
        <v>4.5</v>
      </c>
      <c r="E3" s="19">
        <v>38.4</v>
      </c>
      <c r="I3" s="19">
        <v>161</v>
      </c>
      <c r="J3" s="19">
        <v>79.2</v>
      </c>
      <c r="K3" s="19">
        <v>4.5</v>
      </c>
      <c r="L3" s="19">
        <v>38.4</v>
      </c>
      <c r="N3" s="19">
        <v>161</v>
      </c>
      <c r="O3" s="19">
        <v>71</v>
      </c>
      <c r="P3" s="19">
        <v>4.5</v>
      </c>
      <c r="Q3" s="19">
        <v>38.4</v>
      </c>
      <c r="S3" s="19">
        <v>161</v>
      </c>
      <c r="T3" s="19">
        <v>71</v>
      </c>
      <c r="U3" s="19">
        <v>79.2</v>
      </c>
      <c r="V3" s="19">
        <v>38.4</v>
      </c>
      <c r="X3" s="19">
        <v>161</v>
      </c>
      <c r="Y3" s="19">
        <v>71</v>
      </c>
      <c r="Z3" s="19">
        <v>79.2</v>
      </c>
      <c r="AA3" s="19">
        <v>4.5</v>
      </c>
      <c r="AC3" s="19">
        <v>161</v>
      </c>
      <c r="AD3" s="19">
        <v>71</v>
      </c>
      <c r="AE3" s="19">
        <v>79.2</v>
      </c>
      <c r="AG3" s="19">
        <v>161</v>
      </c>
      <c r="AH3" s="19">
        <v>79.2</v>
      </c>
      <c r="AI3" s="19">
        <v>4.5</v>
      </c>
      <c r="AK3" s="19">
        <v>161</v>
      </c>
      <c r="AL3" s="19">
        <v>71</v>
      </c>
      <c r="AM3" s="19">
        <v>38.4</v>
      </c>
      <c r="AO3" s="19">
        <v>161</v>
      </c>
      <c r="AP3" s="19">
        <v>71</v>
      </c>
      <c r="AQ3" s="19">
        <v>4.5</v>
      </c>
      <c r="AS3" s="19">
        <v>161</v>
      </c>
      <c r="AT3" s="19">
        <v>79.2</v>
      </c>
      <c r="AU3" s="19">
        <v>38.4</v>
      </c>
      <c r="AW3" s="19">
        <v>161</v>
      </c>
      <c r="AX3" s="19">
        <v>4.5</v>
      </c>
      <c r="AY3" s="19">
        <v>38.4</v>
      </c>
    </row>
    <row r="4" spans="1:51" x14ac:dyDescent="0.25">
      <c r="A4" s="19">
        <v>170</v>
      </c>
      <c r="B4" s="19">
        <v>73</v>
      </c>
      <c r="C4" s="19">
        <v>78.5</v>
      </c>
      <c r="D4" s="19">
        <v>4.7</v>
      </c>
      <c r="E4" s="19">
        <v>32.700000000000003</v>
      </c>
      <c r="I4" s="19">
        <v>170</v>
      </c>
      <c r="J4" s="19">
        <v>78.5</v>
      </c>
      <c r="K4" s="19">
        <v>4.7</v>
      </c>
      <c r="L4" s="19">
        <v>32.700000000000003</v>
      </c>
      <c r="N4" s="19">
        <v>170</v>
      </c>
      <c r="O4" s="19">
        <v>73</v>
      </c>
      <c r="P4" s="19">
        <v>4.7</v>
      </c>
      <c r="Q4" s="19">
        <v>32.700000000000003</v>
      </c>
      <c r="S4" s="19">
        <v>170</v>
      </c>
      <c r="T4" s="19">
        <v>73</v>
      </c>
      <c r="U4" s="19">
        <v>78.5</v>
      </c>
      <c r="V4" s="19">
        <v>32.700000000000003</v>
      </c>
      <c r="X4" s="19">
        <v>170</v>
      </c>
      <c r="Y4" s="19">
        <v>73</v>
      </c>
      <c r="Z4" s="19">
        <v>78.5</v>
      </c>
      <c r="AA4" s="19">
        <v>4.7</v>
      </c>
      <c r="AC4" s="19">
        <v>170</v>
      </c>
      <c r="AD4" s="19">
        <v>73</v>
      </c>
      <c r="AE4" s="19">
        <v>78.5</v>
      </c>
      <c r="AG4" s="19">
        <v>170</v>
      </c>
      <c r="AH4" s="19">
        <v>78.5</v>
      </c>
      <c r="AI4" s="19">
        <v>4.7</v>
      </c>
      <c r="AK4" s="19">
        <v>170</v>
      </c>
      <c r="AL4" s="19">
        <v>73</v>
      </c>
      <c r="AM4" s="19">
        <v>32.700000000000003</v>
      </c>
      <c r="AO4" s="19">
        <v>170</v>
      </c>
      <c r="AP4" s="19">
        <v>73</v>
      </c>
      <c r="AQ4" s="19">
        <v>4.7</v>
      </c>
      <c r="AS4" s="19">
        <v>170</v>
      </c>
      <c r="AT4" s="19">
        <v>78.5</v>
      </c>
      <c r="AU4" s="19">
        <v>32.700000000000003</v>
      </c>
      <c r="AW4" s="19">
        <v>170</v>
      </c>
      <c r="AX4" s="19">
        <v>4.7</v>
      </c>
      <c r="AY4" s="19">
        <v>32.700000000000003</v>
      </c>
    </row>
    <row r="5" spans="1:51" x14ac:dyDescent="0.25">
      <c r="A5" s="19">
        <v>182</v>
      </c>
      <c r="B5" s="19">
        <v>65</v>
      </c>
      <c r="C5" s="19">
        <v>70.599999999999994</v>
      </c>
      <c r="D5" s="19">
        <v>7.8</v>
      </c>
      <c r="E5" s="19">
        <v>43.8</v>
      </c>
      <c r="I5" s="19">
        <v>182</v>
      </c>
      <c r="J5" s="19">
        <v>70.599999999999994</v>
      </c>
      <c r="K5" s="19">
        <v>7.8</v>
      </c>
      <c r="L5" s="19">
        <v>43.8</v>
      </c>
      <c r="N5" s="19">
        <v>182</v>
      </c>
      <c r="O5" s="19">
        <v>65</v>
      </c>
      <c r="P5" s="19">
        <v>7.8</v>
      </c>
      <c r="Q5" s="19">
        <v>43.8</v>
      </c>
      <c r="S5" s="19">
        <v>182</v>
      </c>
      <c r="T5" s="19">
        <v>65</v>
      </c>
      <c r="U5" s="19">
        <v>70.599999999999994</v>
      </c>
      <c r="V5" s="19">
        <v>43.8</v>
      </c>
      <c r="X5" s="19">
        <v>182</v>
      </c>
      <c r="Y5" s="19">
        <v>65</v>
      </c>
      <c r="Z5" s="19">
        <v>70.599999999999994</v>
      </c>
      <c r="AA5" s="19">
        <v>7.8</v>
      </c>
      <c r="AC5" s="19">
        <v>182</v>
      </c>
      <c r="AD5" s="19">
        <v>65</v>
      </c>
      <c r="AE5" s="19">
        <v>70.599999999999994</v>
      </c>
      <c r="AG5" s="19">
        <v>182</v>
      </c>
      <c r="AH5" s="19">
        <v>70.599999999999994</v>
      </c>
      <c r="AI5" s="19">
        <v>7.8</v>
      </c>
      <c r="AK5" s="19">
        <v>182</v>
      </c>
      <c r="AL5" s="19">
        <v>65</v>
      </c>
      <c r="AM5" s="19">
        <v>43.8</v>
      </c>
      <c r="AO5" s="19">
        <v>182</v>
      </c>
      <c r="AP5" s="19">
        <v>65</v>
      </c>
      <c r="AQ5" s="19">
        <v>7.8</v>
      </c>
      <c r="AS5" s="19">
        <v>182</v>
      </c>
      <c r="AT5" s="19">
        <v>70.599999999999994</v>
      </c>
      <c r="AU5" s="19">
        <v>43.8</v>
      </c>
      <c r="AW5" s="19">
        <v>182</v>
      </c>
      <c r="AX5" s="19">
        <v>7.8</v>
      </c>
      <c r="AY5" s="19">
        <v>43.8</v>
      </c>
    </row>
    <row r="6" spans="1:51" x14ac:dyDescent="0.25">
      <c r="A6" s="19">
        <v>188</v>
      </c>
      <c r="B6" s="19">
        <v>79</v>
      </c>
      <c r="C6" s="19">
        <v>85.8</v>
      </c>
      <c r="D6" s="19">
        <v>7.9</v>
      </c>
      <c r="E6" s="19">
        <v>67.400000000000006</v>
      </c>
      <c r="I6" s="19">
        <v>188</v>
      </c>
      <c r="J6" s="19">
        <v>85.8</v>
      </c>
      <c r="K6" s="19">
        <v>7.9</v>
      </c>
      <c r="L6" s="19">
        <v>67.400000000000006</v>
      </c>
      <c r="N6" s="19">
        <v>188</v>
      </c>
      <c r="O6" s="19">
        <v>79</v>
      </c>
      <c r="P6" s="19">
        <v>7.9</v>
      </c>
      <c r="Q6" s="19">
        <v>67.400000000000006</v>
      </c>
      <c r="S6" s="19">
        <v>188</v>
      </c>
      <c r="T6" s="19">
        <v>79</v>
      </c>
      <c r="U6" s="19">
        <v>85.8</v>
      </c>
      <c r="V6" s="19">
        <v>67.400000000000006</v>
      </c>
      <c r="X6" s="19">
        <v>188</v>
      </c>
      <c r="Y6" s="19">
        <v>79</v>
      </c>
      <c r="Z6" s="19">
        <v>85.8</v>
      </c>
      <c r="AA6" s="19">
        <v>7.9</v>
      </c>
      <c r="AC6" s="19">
        <v>188</v>
      </c>
      <c r="AD6" s="19">
        <v>79</v>
      </c>
      <c r="AE6" s="19">
        <v>85.8</v>
      </c>
      <c r="AG6" s="19">
        <v>188</v>
      </c>
      <c r="AH6" s="19">
        <v>85.8</v>
      </c>
      <c r="AI6" s="19">
        <v>7.9</v>
      </c>
      <c r="AK6" s="19">
        <v>188</v>
      </c>
      <c r="AL6" s="19">
        <v>79</v>
      </c>
      <c r="AM6" s="19">
        <v>67.400000000000006</v>
      </c>
      <c r="AO6" s="19">
        <v>188</v>
      </c>
      <c r="AP6" s="19">
        <v>79</v>
      </c>
      <c r="AQ6" s="19">
        <v>7.9</v>
      </c>
      <c r="AS6" s="19">
        <v>188</v>
      </c>
      <c r="AT6" s="19">
        <v>85.8</v>
      </c>
      <c r="AU6" s="19">
        <v>67.400000000000006</v>
      </c>
      <c r="AW6" s="19">
        <v>188</v>
      </c>
      <c r="AX6" s="19">
        <v>7.9</v>
      </c>
      <c r="AY6" s="19">
        <v>67.400000000000006</v>
      </c>
    </row>
    <row r="7" spans="1:51" x14ac:dyDescent="0.25">
      <c r="A7" s="19">
        <v>206</v>
      </c>
      <c r="B7" s="19">
        <v>81</v>
      </c>
      <c r="C7" s="19">
        <v>95.4</v>
      </c>
      <c r="D7" s="19">
        <v>3.9</v>
      </c>
      <c r="E7" s="19">
        <v>50.7</v>
      </c>
      <c r="I7" s="19">
        <v>206</v>
      </c>
      <c r="J7" s="19">
        <v>95.4</v>
      </c>
      <c r="K7" s="19">
        <v>3.9</v>
      </c>
      <c r="L7" s="19">
        <v>50.7</v>
      </c>
      <c r="N7" s="19">
        <v>206</v>
      </c>
      <c r="O7" s="19">
        <v>81</v>
      </c>
      <c r="P7" s="19">
        <v>3.9</v>
      </c>
      <c r="Q7" s="19">
        <v>50.7</v>
      </c>
      <c r="S7" s="19">
        <v>206</v>
      </c>
      <c r="T7" s="19">
        <v>81</v>
      </c>
      <c r="U7" s="19">
        <v>95.4</v>
      </c>
      <c r="V7" s="19">
        <v>50.7</v>
      </c>
      <c r="X7" s="19">
        <v>206</v>
      </c>
      <c r="Y7" s="19">
        <v>81</v>
      </c>
      <c r="Z7" s="19">
        <v>95.4</v>
      </c>
      <c r="AA7" s="19">
        <v>3.9</v>
      </c>
      <c r="AC7" s="19">
        <v>206</v>
      </c>
      <c r="AD7" s="19">
        <v>81</v>
      </c>
      <c r="AE7" s="19">
        <v>95.4</v>
      </c>
      <c r="AG7" s="19">
        <v>206</v>
      </c>
      <c r="AH7" s="19">
        <v>95.4</v>
      </c>
      <c r="AI7" s="19">
        <v>3.9</v>
      </c>
      <c r="AK7" s="19">
        <v>206</v>
      </c>
      <c r="AL7" s="19">
        <v>81</v>
      </c>
      <c r="AM7" s="19">
        <v>50.7</v>
      </c>
      <c r="AO7" s="19">
        <v>206</v>
      </c>
      <c r="AP7" s="19">
        <v>81</v>
      </c>
      <c r="AQ7" s="19">
        <v>3.9</v>
      </c>
      <c r="AS7" s="19">
        <v>206</v>
      </c>
      <c r="AT7" s="19">
        <v>95.4</v>
      </c>
      <c r="AU7" s="19">
        <v>50.7</v>
      </c>
      <c r="AW7" s="19">
        <v>206</v>
      </c>
      <c r="AX7" s="19">
        <v>3.9</v>
      </c>
      <c r="AY7" s="19">
        <v>50.7</v>
      </c>
    </row>
    <row r="8" spans="1:51" x14ac:dyDescent="0.25">
      <c r="A8" s="19">
        <v>209</v>
      </c>
      <c r="B8" s="19">
        <v>90</v>
      </c>
      <c r="C8" s="19">
        <v>92.7</v>
      </c>
      <c r="D8" s="19">
        <v>5.0999999999999996</v>
      </c>
      <c r="E8" s="19">
        <v>54.3</v>
      </c>
      <c r="I8" s="19">
        <v>209</v>
      </c>
      <c r="J8" s="19">
        <v>92.7</v>
      </c>
      <c r="K8" s="19">
        <v>5.0999999999999996</v>
      </c>
      <c r="L8" s="19">
        <v>54.3</v>
      </c>
      <c r="N8" s="19">
        <v>209</v>
      </c>
      <c r="O8" s="19">
        <v>90</v>
      </c>
      <c r="P8" s="19">
        <v>5.0999999999999996</v>
      </c>
      <c r="Q8" s="19">
        <v>54.3</v>
      </c>
      <c r="S8" s="19">
        <v>209</v>
      </c>
      <c r="T8" s="19">
        <v>90</v>
      </c>
      <c r="U8" s="19">
        <v>92.7</v>
      </c>
      <c r="V8" s="19">
        <v>54.3</v>
      </c>
      <c r="X8" s="19">
        <v>209</v>
      </c>
      <c r="Y8" s="19">
        <v>90</v>
      </c>
      <c r="Z8" s="19">
        <v>92.7</v>
      </c>
      <c r="AA8" s="19">
        <v>5.0999999999999996</v>
      </c>
      <c r="AC8" s="19">
        <v>209</v>
      </c>
      <c r="AD8" s="19">
        <v>90</v>
      </c>
      <c r="AE8" s="19">
        <v>92.7</v>
      </c>
      <c r="AG8" s="19">
        <v>209</v>
      </c>
      <c r="AH8" s="19">
        <v>92.7</v>
      </c>
      <c r="AI8" s="19">
        <v>5.0999999999999996</v>
      </c>
      <c r="AK8" s="19">
        <v>209</v>
      </c>
      <c r="AL8" s="19">
        <v>90</v>
      </c>
      <c r="AM8" s="19">
        <v>54.3</v>
      </c>
      <c r="AO8" s="19">
        <v>209</v>
      </c>
      <c r="AP8" s="19">
        <v>90</v>
      </c>
      <c r="AQ8" s="19">
        <v>5.0999999999999996</v>
      </c>
      <c r="AS8" s="19">
        <v>209</v>
      </c>
      <c r="AT8" s="19">
        <v>92.7</v>
      </c>
      <c r="AU8" s="19">
        <v>54.3</v>
      </c>
      <c r="AW8" s="19">
        <v>209</v>
      </c>
      <c r="AX8" s="19">
        <v>5.0999999999999996</v>
      </c>
      <c r="AY8" s="19">
        <v>54.3</v>
      </c>
    </row>
    <row r="9" spans="1:51" x14ac:dyDescent="0.25">
      <c r="A9" s="19">
        <v>232</v>
      </c>
      <c r="B9" s="19">
        <v>92</v>
      </c>
      <c r="C9" s="19">
        <v>87.3</v>
      </c>
      <c r="D9" s="19">
        <v>3.7</v>
      </c>
      <c r="E9" s="19">
        <v>62.7</v>
      </c>
      <c r="I9" s="19">
        <v>232</v>
      </c>
      <c r="J9" s="19">
        <v>87.3</v>
      </c>
      <c r="K9" s="19">
        <v>3.7</v>
      </c>
      <c r="L9" s="19">
        <v>62.7</v>
      </c>
      <c r="N9" s="19">
        <v>232</v>
      </c>
      <c r="O9" s="19">
        <v>92</v>
      </c>
      <c r="P9" s="19">
        <v>3.7</v>
      </c>
      <c r="Q9" s="19">
        <v>62.7</v>
      </c>
      <c r="S9" s="19">
        <v>232</v>
      </c>
      <c r="T9" s="19">
        <v>92</v>
      </c>
      <c r="U9" s="19">
        <v>87.3</v>
      </c>
      <c r="V9" s="19">
        <v>62.7</v>
      </c>
      <c r="X9" s="19">
        <v>232</v>
      </c>
      <c r="Y9" s="19">
        <v>92</v>
      </c>
      <c r="Z9" s="19">
        <v>87.3</v>
      </c>
      <c r="AA9" s="19">
        <v>3.7</v>
      </c>
      <c r="AC9" s="19">
        <v>232</v>
      </c>
      <c r="AD9" s="19">
        <v>92</v>
      </c>
      <c r="AE9" s="19">
        <v>87.3</v>
      </c>
      <c r="AG9" s="19">
        <v>232</v>
      </c>
      <c r="AH9" s="19">
        <v>87.3</v>
      </c>
      <c r="AI9" s="19">
        <v>3.7</v>
      </c>
      <c r="AK9" s="19">
        <v>232</v>
      </c>
      <c r="AL9" s="19">
        <v>92</v>
      </c>
      <c r="AM9" s="19">
        <v>62.7</v>
      </c>
      <c r="AO9" s="19">
        <v>232</v>
      </c>
      <c r="AP9" s="19">
        <v>92</v>
      </c>
      <c r="AQ9" s="19">
        <v>3.7</v>
      </c>
      <c r="AS9" s="19">
        <v>232</v>
      </c>
      <c r="AT9" s="19">
        <v>87.3</v>
      </c>
      <c r="AU9" s="19">
        <v>62.7</v>
      </c>
      <c r="AW9" s="19">
        <v>232</v>
      </c>
      <c r="AX9" s="19">
        <v>3.7</v>
      </c>
      <c r="AY9" s="19">
        <v>62.7</v>
      </c>
    </row>
    <row r="10" spans="1:51" x14ac:dyDescent="0.25">
      <c r="A10" s="19">
        <v>246</v>
      </c>
      <c r="B10" s="19">
        <v>126</v>
      </c>
      <c r="C10" s="19">
        <v>120.4</v>
      </c>
      <c r="D10" s="19">
        <v>3.8</v>
      </c>
      <c r="E10" s="19">
        <v>84.6</v>
      </c>
      <c r="I10" s="19">
        <v>246</v>
      </c>
      <c r="J10" s="19">
        <v>120.4</v>
      </c>
      <c r="K10" s="19">
        <v>3.8</v>
      </c>
      <c r="L10" s="19">
        <v>84.6</v>
      </c>
      <c r="N10" s="19">
        <v>246</v>
      </c>
      <c r="O10" s="19">
        <v>126</v>
      </c>
      <c r="P10" s="19">
        <v>3.8</v>
      </c>
      <c r="Q10" s="19">
        <v>84.6</v>
      </c>
      <c r="S10" s="19">
        <v>246</v>
      </c>
      <c r="T10" s="19">
        <v>126</v>
      </c>
      <c r="U10" s="19">
        <v>120.4</v>
      </c>
      <c r="V10" s="19">
        <v>84.6</v>
      </c>
      <c r="X10" s="19">
        <v>246</v>
      </c>
      <c r="Y10" s="19">
        <v>126</v>
      </c>
      <c r="Z10" s="19">
        <v>120.4</v>
      </c>
      <c r="AA10" s="19">
        <v>3.8</v>
      </c>
      <c r="AC10" s="19">
        <v>246</v>
      </c>
      <c r="AD10" s="19">
        <v>126</v>
      </c>
      <c r="AE10" s="19">
        <v>120.4</v>
      </c>
      <c r="AG10" s="19">
        <v>246</v>
      </c>
      <c r="AH10" s="19">
        <v>120.4</v>
      </c>
      <c r="AI10" s="19">
        <v>3.8</v>
      </c>
      <c r="AK10" s="19">
        <v>246</v>
      </c>
      <c r="AL10" s="19">
        <v>126</v>
      </c>
      <c r="AM10" s="19">
        <v>84.6</v>
      </c>
      <c r="AO10" s="19">
        <v>246</v>
      </c>
      <c r="AP10" s="19">
        <v>126</v>
      </c>
      <c r="AQ10" s="19">
        <v>3.8</v>
      </c>
      <c r="AS10" s="19">
        <v>246</v>
      </c>
      <c r="AT10" s="19">
        <v>120.4</v>
      </c>
      <c r="AU10" s="19">
        <v>84.6</v>
      </c>
      <c r="AW10" s="19">
        <v>246</v>
      </c>
      <c r="AX10" s="19">
        <v>3.8</v>
      </c>
      <c r="AY10" s="19">
        <v>84.6</v>
      </c>
    </row>
    <row r="11" spans="1:51" x14ac:dyDescent="0.25">
      <c r="A11" s="19">
        <v>259</v>
      </c>
      <c r="B11" s="19">
        <v>102</v>
      </c>
      <c r="C11" s="19">
        <v>102.8</v>
      </c>
      <c r="D11" s="19">
        <v>3.6</v>
      </c>
      <c r="E11" s="19">
        <v>67.2</v>
      </c>
      <c r="I11" s="19">
        <v>259</v>
      </c>
      <c r="J11" s="19">
        <v>102.8</v>
      </c>
      <c r="K11" s="19">
        <v>3.6</v>
      </c>
      <c r="L11" s="19">
        <v>67.2</v>
      </c>
      <c r="N11" s="19">
        <v>259</v>
      </c>
      <c r="O11" s="19">
        <v>102</v>
      </c>
      <c r="P11" s="19">
        <v>3.6</v>
      </c>
      <c r="Q11" s="19">
        <v>67.2</v>
      </c>
      <c r="S11" s="19">
        <v>259</v>
      </c>
      <c r="T11" s="19">
        <v>102</v>
      </c>
      <c r="U11" s="19">
        <v>102.8</v>
      </c>
      <c r="V11" s="19">
        <v>67.2</v>
      </c>
      <c r="X11" s="19">
        <v>259</v>
      </c>
      <c r="Y11" s="19">
        <v>102</v>
      </c>
      <c r="Z11" s="19">
        <v>102.8</v>
      </c>
      <c r="AA11" s="19">
        <v>3.6</v>
      </c>
      <c r="AC11" s="19">
        <v>259</v>
      </c>
      <c r="AD11" s="19">
        <v>102</v>
      </c>
      <c r="AE11" s="19">
        <v>102.8</v>
      </c>
      <c r="AG11" s="19">
        <v>259</v>
      </c>
      <c r="AH11" s="19">
        <v>102.8</v>
      </c>
      <c r="AI11" s="19">
        <v>3.6</v>
      </c>
      <c r="AK11" s="19">
        <v>259</v>
      </c>
      <c r="AL11" s="19">
        <v>102</v>
      </c>
      <c r="AM11" s="19">
        <v>67.2</v>
      </c>
      <c r="AO11" s="19">
        <v>259</v>
      </c>
      <c r="AP11" s="19">
        <v>102</v>
      </c>
      <c r="AQ11" s="19">
        <v>3.6</v>
      </c>
      <c r="AS11" s="19">
        <v>259</v>
      </c>
      <c r="AT11" s="19">
        <v>102.8</v>
      </c>
      <c r="AU11" s="19">
        <v>67.2</v>
      </c>
      <c r="AW11" s="19">
        <v>259</v>
      </c>
      <c r="AX11" s="19">
        <v>3.6</v>
      </c>
      <c r="AY11" s="19">
        <v>67.2</v>
      </c>
    </row>
    <row r="12" spans="1:51" x14ac:dyDescent="0.25">
      <c r="A12" s="19">
        <v>273</v>
      </c>
      <c r="B12" s="19">
        <v>94</v>
      </c>
      <c r="C12" s="19">
        <v>103.1</v>
      </c>
      <c r="D12" s="19">
        <v>5</v>
      </c>
      <c r="E12" s="19">
        <v>74.900000000000006</v>
      </c>
      <c r="I12" s="19">
        <v>273</v>
      </c>
      <c r="J12" s="19">
        <v>103.1</v>
      </c>
      <c r="K12" s="19">
        <v>5</v>
      </c>
      <c r="L12" s="19">
        <v>74.900000000000006</v>
      </c>
      <c r="N12" s="19">
        <v>273</v>
      </c>
      <c r="O12" s="19">
        <v>94</v>
      </c>
      <c r="P12" s="19">
        <v>5</v>
      </c>
      <c r="Q12" s="19">
        <v>74.900000000000006</v>
      </c>
      <c r="S12" s="19">
        <v>273</v>
      </c>
      <c r="T12" s="19">
        <v>94</v>
      </c>
      <c r="U12" s="19">
        <v>103.1</v>
      </c>
      <c r="V12" s="19">
        <v>74.900000000000006</v>
      </c>
      <c r="X12" s="19">
        <v>273</v>
      </c>
      <c r="Y12" s="19">
        <v>94</v>
      </c>
      <c r="Z12" s="19">
        <v>103.1</v>
      </c>
      <c r="AA12" s="19">
        <v>5</v>
      </c>
      <c r="AC12" s="19">
        <v>273</v>
      </c>
      <c r="AD12" s="19">
        <v>94</v>
      </c>
      <c r="AE12" s="19">
        <v>103.1</v>
      </c>
      <c r="AG12" s="19">
        <v>273</v>
      </c>
      <c r="AH12" s="19">
        <v>103.1</v>
      </c>
      <c r="AI12" s="19">
        <v>5</v>
      </c>
      <c r="AK12" s="19">
        <v>273</v>
      </c>
      <c r="AL12" s="19">
        <v>94</v>
      </c>
      <c r="AM12" s="19">
        <v>74.900000000000006</v>
      </c>
      <c r="AO12" s="19">
        <v>273</v>
      </c>
      <c r="AP12" s="19">
        <v>94</v>
      </c>
      <c r="AQ12" s="19">
        <v>5</v>
      </c>
      <c r="AS12" s="19">
        <v>273</v>
      </c>
      <c r="AT12" s="19">
        <v>103.1</v>
      </c>
      <c r="AU12" s="19">
        <v>74.900000000000006</v>
      </c>
      <c r="AW12" s="19">
        <v>273</v>
      </c>
      <c r="AX12" s="19">
        <v>5</v>
      </c>
      <c r="AY12" s="19">
        <v>74.900000000000006</v>
      </c>
    </row>
    <row r="13" spans="1:51" x14ac:dyDescent="0.25">
      <c r="A13" s="19">
        <v>293</v>
      </c>
      <c r="B13" s="19">
        <v>96</v>
      </c>
      <c r="C13" s="19">
        <v>105.1</v>
      </c>
      <c r="D13" s="19">
        <v>5.5</v>
      </c>
      <c r="E13" s="19">
        <v>60.2</v>
      </c>
      <c r="I13" s="19">
        <v>293</v>
      </c>
      <c r="J13" s="19">
        <v>105.1</v>
      </c>
      <c r="K13" s="19">
        <v>5.5</v>
      </c>
      <c r="L13" s="19">
        <v>60.2</v>
      </c>
      <c r="N13" s="19">
        <v>293</v>
      </c>
      <c r="O13" s="19">
        <v>96</v>
      </c>
      <c r="P13" s="19">
        <v>5.5</v>
      </c>
      <c r="Q13" s="19">
        <v>60.2</v>
      </c>
      <c r="S13" s="19">
        <v>293</v>
      </c>
      <c r="T13" s="19">
        <v>96</v>
      </c>
      <c r="U13" s="19">
        <v>105.1</v>
      </c>
      <c r="V13" s="19">
        <v>60.2</v>
      </c>
      <c r="X13" s="19">
        <v>293</v>
      </c>
      <c r="Y13" s="19">
        <v>96</v>
      </c>
      <c r="Z13" s="19">
        <v>105.1</v>
      </c>
      <c r="AA13" s="19">
        <v>5.5</v>
      </c>
      <c r="AC13" s="19">
        <v>293</v>
      </c>
      <c r="AD13" s="19">
        <v>96</v>
      </c>
      <c r="AE13" s="19">
        <v>105.1</v>
      </c>
      <c r="AG13" s="19">
        <v>293</v>
      </c>
      <c r="AH13" s="19">
        <v>105.1</v>
      </c>
      <c r="AI13" s="19">
        <v>5.5</v>
      </c>
      <c r="AK13" s="19">
        <v>293</v>
      </c>
      <c r="AL13" s="19">
        <v>96</v>
      </c>
      <c r="AM13" s="19">
        <v>60.2</v>
      </c>
      <c r="AO13" s="19">
        <v>293</v>
      </c>
      <c r="AP13" s="19">
        <v>96</v>
      </c>
      <c r="AQ13" s="19">
        <v>5.5</v>
      </c>
      <c r="AS13" s="19">
        <v>293</v>
      </c>
      <c r="AT13" s="19">
        <v>105.1</v>
      </c>
      <c r="AU13" s="19">
        <v>60.2</v>
      </c>
      <c r="AW13" s="19">
        <v>293</v>
      </c>
      <c r="AX13" s="19">
        <v>5.5</v>
      </c>
      <c r="AY13" s="19">
        <v>60.2</v>
      </c>
    </row>
    <row r="14" spans="1:51" x14ac:dyDescent="0.25">
      <c r="A14" s="19">
        <v>323</v>
      </c>
      <c r="B14" s="19">
        <v>91</v>
      </c>
      <c r="C14" s="19">
        <v>100.1</v>
      </c>
      <c r="D14" s="19">
        <v>10.7</v>
      </c>
      <c r="E14" s="19">
        <v>69.7</v>
      </c>
      <c r="I14" s="19">
        <v>323</v>
      </c>
      <c r="J14" s="19">
        <v>100.1</v>
      </c>
      <c r="K14" s="19">
        <v>10.7</v>
      </c>
      <c r="L14" s="19">
        <v>69.7</v>
      </c>
      <c r="N14" s="19">
        <v>323</v>
      </c>
      <c r="O14" s="19">
        <v>91</v>
      </c>
      <c r="P14" s="19">
        <v>10.7</v>
      </c>
      <c r="Q14" s="19">
        <v>69.7</v>
      </c>
      <c r="S14" s="19">
        <v>323</v>
      </c>
      <c r="T14" s="19">
        <v>91</v>
      </c>
      <c r="U14" s="19">
        <v>100.1</v>
      </c>
      <c r="V14" s="19">
        <v>69.7</v>
      </c>
      <c r="X14" s="19">
        <v>323</v>
      </c>
      <c r="Y14" s="19">
        <v>91</v>
      </c>
      <c r="Z14" s="19">
        <v>100.1</v>
      </c>
      <c r="AA14" s="19">
        <v>10.7</v>
      </c>
      <c r="AC14" s="19">
        <v>323</v>
      </c>
      <c r="AD14" s="19">
        <v>91</v>
      </c>
      <c r="AE14" s="19">
        <v>100.1</v>
      </c>
      <c r="AG14" s="19">
        <v>323</v>
      </c>
      <c r="AH14" s="19">
        <v>100.1</v>
      </c>
      <c r="AI14" s="19">
        <v>10.7</v>
      </c>
      <c r="AK14" s="19">
        <v>323</v>
      </c>
      <c r="AL14" s="19">
        <v>91</v>
      </c>
      <c r="AM14" s="19">
        <v>69.7</v>
      </c>
      <c r="AO14" s="19">
        <v>323</v>
      </c>
      <c r="AP14" s="19">
        <v>91</v>
      </c>
      <c r="AQ14" s="19">
        <v>10.7</v>
      </c>
      <c r="AS14" s="19">
        <v>323</v>
      </c>
      <c r="AT14" s="19">
        <v>100.1</v>
      </c>
      <c r="AU14" s="19">
        <v>69.7</v>
      </c>
      <c r="AW14" s="19">
        <v>323</v>
      </c>
      <c r="AX14" s="19">
        <v>10.7</v>
      </c>
      <c r="AY14" s="19">
        <v>69.7</v>
      </c>
    </row>
    <row r="15" spans="1:51" x14ac:dyDescent="0.25">
      <c r="A15" s="19">
        <v>342</v>
      </c>
      <c r="B15" s="19">
        <v>101</v>
      </c>
      <c r="C15" s="19">
        <v>110.1</v>
      </c>
      <c r="D15" s="19">
        <v>10.9</v>
      </c>
      <c r="E15" s="19">
        <v>63.4</v>
      </c>
      <c r="I15" s="19">
        <v>342</v>
      </c>
      <c r="J15" s="19">
        <v>110.1</v>
      </c>
      <c r="K15" s="19">
        <v>10.9</v>
      </c>
      <c r="L15" s="19">
        <v>63.4</v>
      </c>
      <c r="N15" s="19">
        <v>342</v>
      </c>
      <c r="O15" s="19">
        <v>101</v>
      </c>
      <c r="P15" s="19">
        <v>10.9</v>
      </c>
      <c r="Q15" s="19">
        <v>63.4</v>
      </c>
      <c r="S15" s="19">
        <v>342</v>
      </c>
      <c r="T15" s="19">
        <v>101</v>
      </c>
      <c r="U15" s="19">
        <v>110.1</v>
      </c>
      <c r="V15" s="19">
        <v>63.4</v>
      </c>
      <c r="X15" s="19">
        <v>342</v>
      </c>
      <c r="Y15" s="19">
        <v>101</v>
      </c>
      <c r="Z15" s="19">
        <v>110.1</v>
      </c>
      <c r="AA15" s="19">
        <v>10.9</v>
      </c>
      <c r="AC15" s="19">
        <v>342</v>
      </c>
      <c r="AD15" s="19">
        <v>101</v>
      </c>
      <c r="AE15" s="19">
        <v>110.1</v>
      </c>
      <c r="AG15" s="19">
        <v>342</v>
      </c>
      <c r="AH15" s="19">
        <v>110.1</v>
      </c>
      <c r="AI15" s="19">
        <v>10.9</v>
      </c>
      <c r="AK15" s="19">
        <v>342</v>
      </c>
      <c r="AL15" s="19">
        <v>101</v>
      </c>
      <c r="AM15" s="19">
        <v>63.4</v>
      </c>
      <c r="AO15" s="19">
        <v>342</v>
      </c>
      <c r="AP15" s="19">
        <v>101</v>
      </c>
      <c r="AQ15" s="19">
        <v>10.9</v>
      </c>
      <c r="AS15" s="19">
        <v>342</v>
      </c>
      <c r="AT15" s="19">
        <v>110.1</v>
      </c>
      <c r="AU15" s="19">
        <v>63.4</v>
      </c>
      <c r="AW15" s="19">
        <v>342</v>
      </c>
      <c r="AX15" s="19">
        <v>10.9</v>
      </c>
      <c r="AY15" s="19">
        <v>63.4</v>
      </c>
    </row>
    <row r="16" spans="1:51" x14ac:dyDescent="0.25">
      <c r="A16" s="19">
        <v>384</v>
      </c>
      <c r="B16" s="19">
        <v>103</v>
      </c>
      <c r="C16" s="19">
        <v>112.1</v>
      </c>
      <c r="D16" s="19">
        <v>9.1999999999999993</v>
      </c>
      <c r="E16" s="19">
        <v>75.2</v>
      </c>
      <c r="I16" s="19">
        <v>384</v>
      </c>
      <c r="J16" s="19">
        <v>112.1</v>
      </c>
      <c r="K16" s="19">
        <v>9.1999999999999993</v>
      </c>
      <c r="L16" s="19">
        <v>75.2</v>
      </c>
      <c r="N16" s="19">
        <v>384</v>
      </c>
      <c r="O16" s="19">
        <v>103</v>
      </c>
      <c r="P16" s="19">
        <v>9.1999999999999993</v>
      </c>
      <c r="Q16" s="19">
        <v>75.2</v>
      </c>
      <c r="S16" s="19">
        <v>384</v>
      </c>
      <c r="T16" s="19">
        <v>103</v>
      </c>
      <c r="U16" s="19">
        <v>112.1</v>
      </c>
      <c r="V16" s="19">
        <v>75.2</v>
      </c>
      <c r="X16" s="19">
        <v>384</v>
      </c>
      <c r="Y16" s="19">
        <v>103</v>
      </c>
      <c r="Z16" s="19">
        <v>112.1</v>
      </c>
      <c r="AA16" s="19">
        <v>9.1999999999999993</v>
      </c>
      <c r="AC16" s="19">
        <v>384</v>
      </c>
      <c r="AD16" s="19">
        <v>103</v>
      </c>
      <c r="AE16" s="19">
        <v>112.1</v>
      </c>
      <c r="AG16" s="19">
        <v>384</v>
      </c>
      <c r="AH16" s="19">
        <v>112.1</v>
      </c>
      <c r="AI16" s="19">
        <v>9.1999999999999993</v>
      </c>
      <c r="AK16" s="19">
        <v>384</v>
      </c>
      <c r="AL16" s="19">
        <v>103</v>
      </c>
      <c r="AM16" s="19">
        <v>75.2</v>
      </c>
      <c r="AO16" s="19">
        <v>384</v>
      </c>
      <c r="AP16" s="19">
        <v>103</v>
      </c>
      <c r="AQ16" s="19">
        <v>9.1999999999999993</v>
      </c>
      <c r="AS16" s="19">
        <v>384</v>
      </c>
      <c r="AT16" s="19">
        <v>112.1</v>
      </c>
      <c r="AU16" s="19">
        <v>75.2</v>
      </c>
      <c r="AW16" s="19">
        <v>384</v>
      </c>
      <c r="AX16" s="19">
        <v>9.1999999999999993</v>
      </c>
      <c r="AY16" s="19">
        <v>75.2</v>
      </c>
    </row>
    <row r="17" spans="1:51" x14ac:dyDescent="0.25">
      <c r="A17" s="19">
        <v>422</v>
      </c>
      <c r="B17" s="19">
        <v>104</v>
      </c>
      <c r="C17" s="19">
        <v>113.4</v>
      </c>
      <c r="D17" s="19">
        <v>10.3</v>
      </c>
      <c r="E17" s="19">
        <v>70</v>
      </c>
      <c r="I17" s="19">
        <v>422</v>
      </c>
      <c r="J17" s="19">
        <v>113.4</v>
      </c>
      <c r="K17" s="19">
        <v>10.3</v>
      </c>
      <c r="L17" s="19">
        <v>70</v>
      </c>
      <c r="N17" s="19">
        <v>422</v>
      </c>
      <c r="O17" s="19">
        <v>104</v>
      </c>
      <c r="P17" s="19">
        <v>10.3</v>
      </c>
      <c r="Q17" s="19">
        <v>70</v>
      </c>
      <c r="S17" s="19">
        <v>422</v>
      </c>
      <c r="T17" s="19">
        <v>104</v>
      </c>
      <c r="U17" s="19">
        <v>113.4</v>
      </c>
      <c r="V17" s="19">
        <v>70</v>
      </c>
      <c r="X17" s="19">
        <v>422</v>
      </c>
      <c r="Y17" s="19">
        <v>104</v>
      </c>
      <c r="Z17" s="19">
        <v>113.4</v>
      </c>
      <c r="AA17" s="19">
        <v>10.3</v>
      </c>
      <c r="AC17" s="19">
        <v>422</v>
      </c>
      <c r="AD17" s="19">
        <v>104</v>
      </c>
      <c r="AE17" s="19">
        <v>113.4</v>
      </c>
      <c r="AG17" s="19">
        <v>422</v>
      </c>
      <c r="AH17" s="19">
        <v>113.4</v>
      </c>
      <c r="AI17" s="19">
        <v>10.3</v>
      </c>
      <c r="AK17" s="19">
        <v>422</v>
      </c>
      <c r="AL17" s="19">
        <v>104</v>
      </c>
      <c r="AM17" s="19">
        <v>70</v>
      </c>
      <c r="AO17" s="19">
        <v>422</v>
      </c>
      <c r="AP17" s="19">
        <v>104</v>
      </c>
      <c r="AQ17" s="19">
        <v>10.3</v>
      </c>
      <c r="AS17" s="19">
        <v>422</v>
      </c>
      <c r="AT17" s="19">
        <v>113.4</v>
      </c>
      <c r="AU17" s="19">
        <v>70</v>
      </c>
      <c r="AW17" s="19">
        <v>422</v>
      </c>
      <c r="AX17" s="19">
        <v>10.3</v>
      </c>
      <c r="AY17" s="19">
        <v>70</v>
      </c>
    </row>
    <row r="18" spans="1:51" x14ac:dyDescent="0.25">
      <c r="A18" s="19">
        <v>429</v>
      </c>
      <c r="B18" s="19">
        <v>88</v>
      </c>
      <c r="C18" s="19">
        <v>97.8</v>
      </c>
      <c r="D18" s="19">
        <v>12.7</v>
      </c>
      <c r="E18" s="19">
        <v>52</v>
      </c>
      <c r="I18" s="19">
        <v>429</v>
      </c>
      <c r="J18" s="19">
        <v>97.8</v>
      </c>
      <c r="K18" s="19">
        <v>12.7</v>
      </c>
      <c r="L18" s="19">
        <v>52</v>
      </c>
      <c r="N18" s="19">
        <v>429</v>
      </c>
      <c r="O18" s="19">
        <v>88</v>
      </c>
      <c r="P18" s="19">
        <v>12.7</v>
      </c>
      <c r="Q18" s="19">
        <v>52</v>
      </c>
      <c r="S18" s="19">
        <v>429</v>
      </c>
      <c r="T18" s="19">
        <v>88</v>
      </c>
      <c r="U18" s="19">
        <v>97.8</v>
      </c>
      <c r="V18" s="19">
        <v>52</v>
      </c>
      <c r="X18" s="19">
        <v>429</v>
      </c>
      <c r="Y18" s="19">
        <v>88</v>
      </c>
      <c r="Z18" s="19">
        <v>97.8</v>
      </c>
      <c r="AA18" s="19">
        <v>12.7</v>
      </c>
      <c r="AC18" s="19">
        <v>429</v>
      </c>
      <c r="AD18" s="19">
        <v>88</v>
      </c>
      <c r="AE18" s="19">
        <v>97.8</v>
      </c>
      <c r="AG18" s="19">
        <v>429</v>
      </c>
      <c r="AH18" s="19">
        <v>97.8</v>
      </c>
      <c r="AI18" s="19">
        <v>12.7</v>
      </c>
      <c r="AK18" s="19">
        <v>429</v>
      </c>
      <c r="AL18" s="19">
        <v>88</v>
      </c>
      <c r="AM18" s="19">
        <v>52</v>
      </c>
      <c r="AO18" s="19">
        <v>429</v>
      </c>
      <c r="AP18" s="19">
        <v>88</v>
      </c>
      <c r="AQ18" s="19">
        <v>12.7</v>
      </c>
      <c r="AS18" s="19">
        <v>429</v>
      </c>
      <c r="AT18" s="19">
        <v>97.8</v>
      </c>
      <c r="AU18" s="19">
        <v>52</v>
      </c>
      <c r="AW18" s="19">
        <v>429</v>
      </c>
      <c r="AX18" s="19">
        <v>12.7</v>
      </c>
      <c r="AY18" s="19">
        <v>52</v>
      </c>
    </row>
    <row r="19" spans="1:51" x14ac:dyDescent="0.25">
      <c r="A19" s="19">
        <v>433</v>
      </c>
      <c r="B19" s="19">
        <v>101</v>
      </c>
      <c r="C19" s="19">
        <v>110.8</v>
      </c>
      <c r="D19" s="19">
        <v>13.8</v>
      </c>
      <c r="E19" s="19">
        <v>64.8</v>
      </c>
      <c r="I19" s="19">
        <v>433</v>
      </c>
      <c r="J19" s="19">
        <v>110.8</v>
      </c>
      <c r="K19" s="19">
        <v>13.8</v>
      </c>
      <c r="L19" s="19">
        <v>64.8</v>
      </c>
      <c r="N19" s="19">
        <v>433</v>
      </c>
      <c r="O19" s="19">
        <v>101</v>
      </c>
      <c r="P19" s="19">
        <v>13.8</v>
      </c>
      <c r="Q19" s="19">
        <v>64.8</v>
      </c>
      <c r="S19" s="19">
        <v>433</v>
      </c>
      <c r="T19" s="19">
        <v>101</v>
      </c>
      <c r="U19" s="19">
        <v>110.8</v>
      </c>
      <c r="V19" s="19">
        <v>64.8</v>
      </c>
      <c r="X19" s="19">
        <v>433</v>
      </c>
      <c r="Y19" s="19">
        <v>101</v>
      </c>
      <c r="Z19" s="19">
        <v>110.8</v>
      </c>
      <c r="AA19" s="19">
        <v>13.8</v>
      </c>
      <c r="AC19" s="19">
        <v>433</v>
      </c>
      <c r="AD19" s="19">
        <v>101</v>
      </c>
      <c r="AE19" s="19">
        <v>110.8</v>
      </c>
      <c r="AG19" s="19">
        <v>433</v>
      </c>
      <c r="AH19" s="19">
        <v>110.8</v>
      </c>
      <c r="AI19" s="19">
        <v>13.8</v>
      </c>
      <c r="AK19" s="19">
        <v>433</v>
      </c>
      <c r="AL19" s="19">
        <v>101</v>
      </c>
      <c r="AM19" s="19">
        <v>64.8</v>
      </c>
      <c r="AO19" s="19">
        <v>433</v>
      </c>
      <c r="AP19" s="19">
        <v>101</v>
      </c>
      <c r="AQ19" s="19">
        <v>13.8</v>
      </c>
      <c r="AS19" s="19">
        <v>433</v>
      </c>
      <c r="AT19" s="19">
        <v>110.8</v>
      </c>
      <c r="AU19" s="19">
        <v>64.8</v>
      </c>
      <c r="AW19" s="19">
        <v>433</v>
      </c>
      <c r="AX19" s="19">
        <v>13.8</v>
      </c>
      <c r="AY19" s="19">
        <v>64.8</v>
      </c>
    </row>
    <row r="20" spans="1:51" x14ac:dyDescent="0.25">
      <c r="A20" s="19">
        <v>436</v>
      </c>
      <c r="B20" s="19">
        <v>105</v>
      </c>
      <c r="C20" s="19">
        <v>115.7</v>
      </c>
      <c r="D20" s="19">
        <v>14.8</v>
      </c>
      <c r="E20" s="19">
        <v>65.5</v>
      </c>
      <c r="I20" s="19">
        <v>436</v>
      </c>
      <c r="J20" s="19">
        <v>115.7</v>
      </c>
      <c r="K20" s="19">
        <v>14.8</v>
      </c>
      <c r="L20" s="19">
        <v>65.5</v>
      </c>
      <c r="N20" s="19">
        <v>436</v>
      </c>
      <c r="O20" s="19">
        <v>105</v>
      </c>
      <c r="P20" s="19">
        <v>14.8</v>
      </c>
      <c r="Q20" s="19">
        <v>65.5</v>
      </c>
      <c r="S20" s="19">
        <v>436</v>
      </c>
      <c r="T20" s="19">
        <v>105</v>
      </c>
      <c r="U20" s="19">
        <v>115.7</v>
      </c>
      <c r="V20" s="19">
        <v>65.5</v>
      </c>
      <c r="X20" s="19">
        <v>436</v>
      </c>
      <c r="Y20" s="19">
        <v>105</v>
      </c>
      <c r="Z20" s="19">
        <v>115.7</v>
      </c>
      <c r="AA20" s="19">
        <v>14.8</v>
      </c>
      <c r="AC20" s="19">
        <v>436</v>
      </c>
      <c r="AD20" s="19">
        <v>105</v>
      </c>
      <c r="AE20" s="19">
        <v>115.7</v>
      </c>
      <c r="AG20" s="19">
        <v>436</v>
      </c>
      <c r="AH20" s="19">
        <v>115.7</v>
      </c>
      <c r="AI20" s="19">
        <v>14.8</v>
      </c>
      <c r="AK20" s="19">
        <v>436</v>
      </c>
      <c r="AL20" s="19">
        <v>105</v>
      </c>
      <c r="AM20" s="19">
        <v>65.5</v>
      </c>
      <c r="AO20" s="19">
        <v>436</v>
      </c>
      <c r="AP20" s="19">
        <v>105</v>
      </c>
      <c r="AQ20" s="19">
        <v>14.8</v>
      </c>
      <c r="AS20" s="19">
        <v>436</v>
      </c>
      <c r="AT20" s="19">
        <v>115.7</v>
      </c>
      <c r="AU20" s="19">
        <v>65.5</v>
      </c>
      <c r="AW20" s="19">
        <v>436</v>
      </c>
      <c r="AX20" s="19">
        <v>14.8</v>
      </c>
      <c r="AY20" s="19">
        <v>65.5</v>
      </c>
    </row>
    <row r="21" spans="1:51" x14ac:dyDescent="0.25">
      <c r="A21" s="19">
        <v>264</v>
      </c>
      <c r="B21" s="19">
        <v>103</v>
      </c>
      <c r="C21" s="19">
        <v>112.6</v>
      </c>
      <c r="D21" s="19">
        <v>18</v>
      </c>
      <c r="E21" s="19">
        <v>64.3</v>
      </c>
      <c r="I21" s="19">
        <v>264</v>
      </c>
      <c r="J21" s="19">
        <v>112.6</v>
      </c>
      <c r="K21" s="19">
        <v>18</v>
      </c>
      <c r="L21" s="19">
        <v>64.3</v>
      </c>
      <c r="N21" s="19">
        <v>264</v>
      </c>
      <c r="O21" s="19">
        <v>103</v>
      </c>
      <c r="P21" s="19">
        <v>18</v>
      </c>
      <c r="Q21" s="19">
        <v>64.3</v>
      </c>
      <c r="S21" s="19">
        <v>264</v>
      </c>
      <c r="T21" s="19">
        <v>103</v>
      </c>
      <c r="U21" s="19">
        <v>112.6</v>
      </c>
      <c r="V21" s="19">
        <v>64.3</v>
      </c>
      <c r="X21" s="19">
        <v>264</v>
      </c>
      <c r="Y21" s="19">
        <v>103</v>
      </c>
      <c r="Z21" s="19">
        <v>112.6</v>
      </c>
      <c r="AA21" s="19">
        <v>18</v>
      </c>
      <c r="AC21" s="19">
        <v>264</v>
      </c>
      <c r="AD21" s="19">
        <v>103</v>
      </c>
      <c r="AE21" s="19">
        <v>112.6</v>
      </c>
      <c r="AG21" s="19">
        <v>264</v>
      </c>
      <c r="AH21" s="19">
        <v>112.6</v>
      </c>
      <c r="AI21" s="19">
        <v>18</v>
      </c>
      <c r="AK21" s="19">
        <v>264</v>
      </c>
      <c r="AL21" s="19">
        <v>103</v>
      </c>
      <c r="AM21" s="19">
        <v>64.3</v>
      </c>
      <c r="AO21" s="19">
        <v>264</v>
      </c>
      <c r="AP21" s="19">
        <v>103</v>
      </c>
      <c r="AQ21" s="19">
        <v>18</v>
      </c>
      <c r="AS21" s="19">
        <v>264</v>
      </c>
      <c r="AT21" s="19">
        <v>112.6</v>
      </c>
      <c r="AU21" s="19">
        <v>64.3</v>
      </c>
      <c r="AW21" s="19">
        <v>264</v>
      </c>
      <c r="AX21" s="19">
        <v>18</v>
      </c>
      <c r="AY21" s="19">
        <v>64.3</v>
      </c>
    </row>
    <row r="22" spans="1:51" ht="15.75" thickBot="1" x14ac:dyDescent="0.3"/>
    <row r="23" spans="1:51" x14ac:dyDescent="0.25">
      <c r="A23" s="4"/>
      <c r="B23" s="5" t="s">
        <v>47</v>
      </c>
      <c r="C23" s="5" t="s">
        <v>48</v>
      </c>
      <c r="D23" s="5" t="s">
        <v>49</v>
      </c>
      <c r="E23" s="5" t="s">
        <v>50</v>
      </c>
      <c r="F23" s="6" t="s">
        <v>51</v>
      </c>
      <c r="I23" s="1">
        <f t="array" ref="I23:L27">LINEST(I2:I21,J2:L21,1,1)</f>
        <v>-1.7978684209709899</v>
      </c>
      <c r="J23" s="1">
        <v>0.98376349449861777</v>
      </c>
      <c r="K23" s="1">
        <v>6.1979300920746683</v>
      </c>
      <c r="L23" s="1">
        <v>-230.32745375456062</v>
      </c>
      <c r="N23" s="1">
        <f t="array" ref="N23:Q27">LINEST(N2:N21,O2:Q21,1,1)</f>
        <v>-0.17298490210815248</v>
      </c>
      <c r="O23" s="1">
        <v>0.25368881389354886</v>
      </c>
      <c r="P23" s="1">
        <v>4.1263220697793699</v>
      </c>
      <c r="Q23" s="1">
        <v>-90.723725665817426</v>
      </c>
      <c r="S23" s="1">
        <f t="array" ref="S23:V27">LINEST(S2:S21,T2:V21,1,1)</f>
        <v>-0.33470942248416558</v>
      </c>
      <c r="T23" s="1">
        <v>8.9750643561022194</v>
      </c>
      <c r="U23" s="1">
        <v>-4.5746036900035536</v>
      </c>
      <c r="V23" s="1">
        <v>-159.6990248841087</v>
      </c>
      <c r="X23" s="1">
        <f t="array" ref="X23:AA27">LINEST(X2:X21,Y2:AA21,1,1)</f>
        <v>1.2511861634928614</v>
      </c>
      <c r="Y23" s="1">
        <v>9.9558985290867348</v>
      </c>
      <c r="Z23" s="1">
        <v>-5.3860226126135444</v>
      </c>
      <c r="AA23" s="1">
        <v>-216.09285755606484</v>
      </c>
      <c r="AC23" s="1">
        <f t="array" ref="AC23:AE27">LINEST(AC2:AC21,AD2:AE21,1,1)</f>
        <v>8.9662895503326236</v>
      </c>
      <c r="AD23" s="1">
        <v>-4.8175947307269755</v>
      </c>
      <c r="AE23" s="1">
        <v>-156.70806964297276</v>
      </c>
      <c r="AG23" s="1">
        <f t="array" ref="AG23:AI27">LINEST(AG2:AG21,AH2:AI21,1,1)</f>
        <v>0.94682288047610463</v>
      </c>
      <c r="AH23" s="1">
        <v>4.9521675301786185</v>
      </c>
      <c r="AI23" s="1">
        <v>-216.04295364763087</v>
      </c>
      <c r="AK23" s="1">
        <f t="array" ref="AK23:AM27">LINEST(AK2:AK21,AL2:AM21,1,1)</f>
        <v>-0.19854952667270692</v>
      </c>
      <c r="AL23" s="1">
        <v>4.0653405743282098</v>
      </c>
      <c r="AM23" s="1">
        <v>-80.646413569634134</v>
      </c>
      <c r="AO23" s="1">
        <f t="array" ref="AO23:AQ27">LINEST(AO2:AO21,AP2:AQ21,1,1)</f>
        <v>0.25749014439488249</v>
      </c>
      <c r="AP23" s="1">
        <v>3.997523428251049</v>
      </c>
      <c r="AQ23" s="1">
        <v>-89.371618759274455</v>
      </c>
      <c r="AS23" s="1">
        <f t="array" ref="AS23:AU27">LINEST(AS2:AS21,AT2:AU21,1,1)</f>
        <v>-1.7296133745575533</v>
      </c>
      <c r="AT23" s="1">
        <v>5.7787220267582189</v>
      </c>
      <c r="AU23" s="1">
        <v>-181.9352342074838</v>
      </c>
      <c r="AW23" s="1">
        <f t="array" ref="AW23:AY27">LINEST(AW2:AW21,AX2:AY21,1,1)</f>
        <v>3.7130105441511692</v>
      </c>
      <c r="AX23" s="1">
        <v>-1.9891779048700278E-2</v>
      </c>
      <c r="AY23" s="1">
        <v>56.768315747212284</v>
      </c>
    </row>
    <row r="24" spans="1:51" x14ac:dyDescent="0.25">
      <c r="A24" s="7" t="s">
        <v>47</v>
      </c>
      <c r="B24" s="16">
        <v>1</v>
      </c>
      <c r="C24" s="16"/>
      <c r="D24" s="16"/>
      <c r="E24" s="16"/>
      <c r="F24" s="8"/>
      <c r="I24" s="1">
        <v>1.9628167541591477</v>
      </c>
      <c r="J24" s="1">
        <v>1.0681465139150921</v>
      </c>
      <c r="K24" s="1">
        <v>1.7327317851978832</v>
      </c>
      <c r="L24" s="1">
        <v>112.53802395402494</v>
      </c>
      <c r="N24" s="1">
        <v>2.7499473997549857</v>
      </c>
      <c r="O24" s="1">
        <v>1.2841597436075118</v>
      </c>
      <c r="P24" s="1">
        <v>2.4451547248979066</v>
      </c>
      <c r="Q24" s="1">
        <v>130.94120700564446</v>
      </c>
      <c r="S24" s="1">
        <v>2.1571968543414544</v>
      </c>
      <c r="T24" s="1">
        <v>2.8357552555719474</v>
      </c>
      <c r="U24" s="1">
        <v>3.3285533733775674</v>
      </c>
      <c r="V24" s="1">
        <v>97.92692098798527</v>
      </c>
      <c r="X24" s="1">
        <v>1.0025595973128736</v>
      </c>
      <c r="Y24" s="1">
        <v>2.8222436306810152</v>
      </c>
      <c r="Z24" s="1">
        <v>2.8426597132180036</v>
      </c>
      <c r="AA24" s="1">
        <v>103.33092386884132</v>
      </c>
      <c r="AC24" s="1">
        <v>2.7526080790683909</v>
      </c>
      <c r="AD24" s="1">
        <v>2.8515691389719002</v>
      </c>
      <c r="AE24" s="1">
        <v>93.214299940518202</v>
      </c>
      <c r="AG24" s="1">
        <v>1.062318129987083</v>
      </c>
      <c r="AH24" s="1">
        <v>1.0684978553593054</v>
      </c>
      <c r="AI24" s="1">
        <v>110.92318622547381</v>
      </c>
      <c r="AK24" s="1">
        <v>2.6681334040701734</v>
      </c>
      <c r="AL24" s="1">
        <v>2.3560377514868835</v>
      </c>
      <c r="AM24" s="1">
        <v>117.13830355743021</v>
      </c>
      <c r="AO24" s="1">
        <v>1.2445916536349406</v>
      </c>
      <c r="AP24" s="1">
        <v>1.2968372343671586</v>
      </c>
      <c r="AQ24" s="1">
        <v>125.32390978402887</v>
      </c>
      <c r="AS24" s="1">
        <v>1.9526428269849698</v>
      </c>
      <c r="AT24" s="1">
        <v>1.664401082554583</v>
      </c>
      <c r="AU24" s="1">
        <v>99.073796173504661</v>
      </c>
      <c r="AW24" s="1">
        <v>1.5827796727530479</v>
      </c>
      <c r="AX24" s="1">
        <v>1.3413329150478197</v>
      </c>
      <c r="AY24" s="1">
        <v>102.665366410453</v>
      </c>
    </row>
    <row r="25" spans="1:51" x14ac:dyDescent="0.25">
      <c r="A25" s="7" t="s">
        <v>48</v>
      </c>
      <c r="B25" s="16">
        <f>CORREL(B2:B21,$A$2:$A$21)</f>
        <v>0.60892573928817084</v>
      </c>
      <c r="C25" s="16">
        <v>1</v>
      </c>
      <c r="D25" s="16"/>
      <c r="E25" s="16"/>
      <c r="F25" s="8"/>
      <c r="I25" s="1">
        <v>0.58928153532657435</v>
      </c>
      <c r="J25" s="1">
        <v>68.788566605063835</v>
      </c>
      <c r="K25" s="1" t="e">
        <v>#N/A</v>
      </c>
      <c r="L25" s="1" t="e">
        <v>#N/A</v>
      </c>
      <c r="N25" s="1">
        <v>0.37252597370836871</v>
      </c>
      <c r="O25" s="1">
        <v>85.024095897601697</v>
      </c>
      <c r="P25" s="1" t="e">
        <v>#N/A</v>
      </c>
      <c r="Q25" s="1" t="e">
        <v>#N/A</v>
      </c>
      <c r="S25" s="1">
        <v>0.61317319397052461</v>
      </c>
      <c r="T25" s="1">
        <v>66.757863139298323</v>
      </c>
      <c r="U25" s="1" t="e">
        <v>#N/A</v>
      </c>
      <c r="V25" s="1" t="e">
        <v>#N/A</v>
      </c>
      <c r="X25" s="1">
        <v>0.64695729202133967</v>
      </c>
      <c r="Y25" s="1">
        <v>63.776072209620651</v>
      </c>
      <c r="Z25" s="1" t="e">
        <v>#N/A</v>
      </c>
      <c r="AA25" s="1" t="e">
        <v>#N/A</v>
      </c>
      <c r="AC25" s="1">
        <v>0.61259115388014951</v>
      </c>
      <c r="AD25" s="1">
        <v>64.813346088990698</v>
      </c>
      <c r="AE25" s="1" t="e">
        <v>#N/A</v>
      </c>
      <c r="AG25" s="1">
        <v>0.56774476677075691</v>
      </c>
      <c r="AH25" s="1">
        <v>68.462035365405768</v>
      </c>
      <c r="AI25" s="1" t="e">
        <v>#N/A</v>
      </c>
      <c r="AK25" s="1">
        <v>0.37099544914543026</v>
      </c>
      <c r="AL25" s="1">
        <v>82.586026336423458</v>
      </c>
      <c r="AM25" s="1" t="e">
        <v>#N/A</v>
      </c>
      <c r="AO25" s="1">
        <v>0.37237079097498743</v>
      </c>
      <c r="AP25" s="1">
        <v>82.495688219398502</v>
      </c>
      <c r="AQ25" s="1" t="e">
        <v>#N/A</v>
      </c>
      <c r="AS25" s="1">
        <v>0.56750724567555666</v>
      </c>
      <c r="AT25" s="1">
        <v>68.480842476498538</v>
      </c>
      <c r="AU25" s="1" t="e">
        <v>#N/A</v>
      </c>
      <c r="AW25" s="1">
        <v>0.26084239422304056</v>
      </c>
      <c r="AX25" s="1">
        <v>89.525798152532872</v>
      </c>
      <c r="AY25" s="1" t="e">
        <v>#N/A</v>
      </c>
    </row>
    <row r="26" spans="1:51" x14ac:dyDescent="0.25">
      <c r="A26" s="7" t="s">
        <v>49</v>
      </c>
      <c r="B26" s="16">
        <f>CORREL(C2:C21,$A$2:$A$21)</f>
        <v>0.73996367647705252</v>
      </c>
      <c r="C26" s="16">
        <f>CORREL($B$2:$B$21,C2:C21)</f>
        <v>0.94025818611205825</v>
      </c>
      <c r="D26" s="16">
        <v>1</v>
      </c>
      <c r="E26" s="16"/>
      <c r="F26" s="8"/>
      <c r="I26" s="1">
        <v>7.6520417887080479</v>
      </c>
      <c r="J26" s="1">
        <v>16</v>
      </c>
      <c r="K26" s="1" t="e">
        <v>#N/A</v>
      </c>
      <c r="L26" s="1" t="e">
        <v>#N/A</v>
      </c>
      <c r="N26" s="1">
        <v>3.1663544782137194</v>
      </c>
      <c r="O26" s="1">
        <v>16</v>
      </c>
      <c r="P26" s="1" t="e">
        <v>#N/A</v>
      </c>
      <c r="Q26" s="1" t="e">
        <v>#N/A</v>
      </c>
      <c r="S26" s="1">
        <v>8.4540600173925817</v>
      </c>
      <c r="T26" s="1">
        <v>16</v>
      </c>
      <c r="U26" s="1" t="e">
        <v>#N/A</v>
      </c>
      <c r="V26" s="1" t="e">
        <v>#N/A</v>
      </c>
      <c r="X26" s="1">
        <v>9.773431975230146</v>
      </c>
      <c r="Y26" s="1">
        <v>16</v>
      </c>
      <c r="Z26" s="1" t="e">
        <v>#N/A</v>
      </c>
      <c r="AA26" s="1" t="e">
        <v>#N/A</v>
      </c>
      <c r="AC26" s="1">
        <v>13.44064509660268</v>
      </c>
      <c r="AD26" s="1">
        <v>17</v>
      </c>
      <c r="AE26" s="1" t="e">
        <v>#N/A</v>
      </c>
      <c r="AG26" s="1">
        <v>11.164307905538053</v>
      </c>
      <c r="AH26" s="1">
        <v>17</v>
      </c>
      <c r="AI26" s="1" t="e">
        <v>#N/A</v>
      </c>
      <c r="AK26" s="1">
        <v>5.0134157431004978</v>
      </c>
      <c r="AL26" s="1">
        <v>17</v>
      </c>
      <c r="AM26" s="1" t="e">
        <v>#N/A</v>
      </c>
      <c r="AO26" s="1">
        <v>5.0430280773647906</v>
      </c>
      <c r="AP26" s="1">
        <v>17</v>
      </c>
      <c r="AQ26" s="1" t="e">
        <v>#N/A</v>
      </c>
      <c r="AS26" s="1">
        <v>11.153508446117346</v>
      </c>
      <c r="AT26" s="1">
        <v>17</v>
      </c>
      <c r="AU26" s="1" t="e">
        <v>#N/A</v>
      </c>
      <c r="AW26" s="1">
        <v>2.9995772668337692</v>
      </c>
      <c r="AX26" s="1">
        <v>17</v>
      </c>
      <c r="AY26" s="1" t="e">
        <v>#N/A</v>
      </c>
    </row>
    <row r="27" spans="1:51" x14ac:dyDescent="0.25">
      <c r="A27" s="7" t="s">
        <v>50</v>
      </c>
      <c r="B27" s="16">
        <f>CORREL(D2:D21,$A$2:$A$21)</f>
        <v>-0.14685421249690545</v>
      </c>
      <c r="C27" s="16">
        <f>CORREL($B$2:$B$21,D2:D21)</f>
        <v>-0.30337510603247897</v>
      </c>
      <c r="D27" s="16">
        <f>CORREL($C$2:$C$21,D2:D21)</f>
        <v>-0.37640174305774593</v>
      </c>
      <c r="E27" s="16">
        <v>1</v>
      </c>
      <c r="F27" s="8"/>
      <c r="I27" s="1">
        <v>108625.32967073115</v>
      </c>
      <c r="J27" s="1">
        <v>75709.870329268859</v>
      </c>
      <c r="K27" s="1" t="e">
        <v>#N/A</v>
      </c>
      <c r="L27" s="1" t="e">
        <v>#N/A</v>
      </c>
      <c r="N27" s="1">
        <v>68669.64986872689</v>
      </c>
      <c r="O27" s="1">
        <v>115665.55013127312</v>
      </c>
      <c r="P27" s="1" t="e">
        <v>#N/A</v>
      </c>
      <c r="Q27" s="1" t="e">
        <v>#N/A</v>
      </c>
      <c r="S27" s="1">
        <v>113029.40334519545</v>
      </c>
      <c r="T27" s="1">
        <v>71305.796654804566</v>
      </c>
      <c r="U27" s="1" t="e">
        <v>#N/A</v>
      </c>
      <c r="V27" s="1" t="e">
        <v>#N/A</v>
      </c>
      <c r="X27" s="1">
        <v>119257.00181621205</v>
      </c>
      <c r="Y27" s="1">
        <v>65078.198183787958</v>
      </c>
      <c r="Z27" s="1" t="e">
        <v>#N/A</v>
      </c>
      <c r="AA27" s="1" t="e">
        <v>#N/A</v>
      </c>
      <c r="AC27" s="1">
        <v>112922.11286872815</v>
      </c>
      <c r="AD27" s="1">
        <v>71413.087131271866</v>
      </c>
      <c r="AE27" s="1" t="e">
        <v>#N/A</v>
      </c>
      <c r="AG27" s="1">
        <v>104655.34513164083</v>
      </c>
      <c r="AH27" s="1">
        <v>79679.85486835918</v>
      </c>
      <c r="AI27" s="1" t="e">
        <v>#N/A</v>
      </c>
      <c r="AK27" s="1">
        <v>68387.520317312723</v>
      </c>
      <c r="AL27" s="1">
        <v>115947.67968268729</v>
      </c>
      <c r="AM27" s="1" t="e">
        <v>#N/A</v>
      </c>
      <c r="AO27" s="1">
        <v>68641.044228532512</v>
      </c>
      <c r="AP27" s="1">
        <v>115694.1557714675</v>
      </c>
      <c r="AQ27" s="1" t="e">
        <v>#N/A</v>
      </c>
      <c r="AS27" s="1">
        <v>104611.56163305289</v>
      </c>
      <c r="AT27" s="1">
        <v>79723.638366947125</v>
      </c>
      <c r="AU27" s="1" t="e">
        <v>#N/A</v>
      </c>
      <c r="AW27" s="1">
        <v>48082.434907583025</v>
      </c>
      <c r="AX27" s="1">
        <v>136252.76509241699</v>
      </c>
      <c r="AY27" s="1" t="e">
        <v>#N/A</v>
      </c>
    </row>
    <row r="28" spans="1:51" ht="15.75" thickBot="1" x14ac:dyDescent="0.3">
      <c r="A28" s="17" t="s">
        <v>51</v>
      </c>
      <c r="B28" s="18">
        <f>CORREL(E2:E21,$A$2:$A$21)</f>
        <v>0.51071795731721703</v>
      </c>
      <c r="C28" s="18">
        <f>CORREL($B$2:$B$21,E2:E21)</f>
        <v>0.8510623646735056</v>
      </c>
      <c r="D28" s="18">
        <f>CORREL($C$2:$C$21,E2:E21)</f>
        <v>0.80378346026131053</v>
      </c>
      <c r="E28" s="18">
        <f>CORREL(D2:D21,E2:E21)</f>
        <v>-0.28173510667122881</v>
      </c>
      <c r="F28" s="12">
        <v>1</v>
      </c>
      <c r="H28" t="s">
        <v>53</v>
      </c>
      <c r="I28" s="21">
        <f>COUNT(I2:I21)-1</f>
        <v>19</v>
      </c>
    </row>
    <row r="29" spans="1:51" x14ac:dyDescent="0.25">
      <c r="H29" t="s">
        <v>54</v>
      </c>
      <c r="I29">
        <f>J26</f>
        <v>16</v>
      </c>
      <c r="N29">
        <f>O26</f>
        <v>16</v>
      </c>
      <c r="S29">
        <f>T26</f>
        <v>16</v>
      </c>
      <c r="X29">
        <f>Y26</f>
        <v>16</v>
      </c>
      <c r="AC29">
        <f>AD26</f>
        <v>17</v>
      </c>
      <c r="AG29">
        <f>AH26</f>
        <v>17</v>
      </c>
      <c r="AK29">
        <f>AL26</f>
        <v>17</v>
      </c>
      <c r="AO29">
        <f>AP26</f>
        <v>17</v>
      </c>
      <c r="AS29">
        <f>AT26</f>
        <v>17</v>
      </c>
      <c r="AW29">
        <f>AX26</f>
        <v>17</v>
      </c>
    </row>
    <row r="30" spans="1:51" x14ac:dyDescent="0.25">
      <c r="A30" s="20" t="s">
        <v>52</v>
      </c>
      <c r="B30" s="20"/>
      <c r="C30" s="20"/>
      <c r="H30" t="s">
        <v>55</v>
      </c>
      <c r="I30">
        <f>I25</f>
        <v>0.58928153532657435</v>
      </c>
      <c r="N30">
        <f>N25</f>
        <v>0.37252597370836871</v>
      </c>
      <c r="S30">
        <f>S25</f>
        <v>0.61317319397052461</v>
      </c>
      <c r="X30">
        <f>X25</f>
        <v>0.64695729202133967</v>
      </c>
      <c r="AC30">
        <f>AC25</f>
        <v>0.61259115388014951</v>
      </c>
      <c r="AG30">
        <f>AG25</f>
        <v>0.56774476677075691</v>
      </c>
      <c r="AK30">
        <f>AK25</f>
        <v>0.37099544914543026</v>
      </c>
      <c r="AO30">
        <f>AO25</f>
        <v>0.37237079097498743</v>
      </c>
      <c r="AS30">
        <f>AS25</f>
        <v>0.56750724567555666</v>
      </c>
      <c r="AW30">
        <f>AW25</f>
        <v>0.26084239422304056</v>
      </c>
    </row>
    <row r="31" spans="1:51" x14ac:dyDescent="0.25">
      <c r="H31" t="s">
        <v>56</v>
      </c>
      <c r="I31">
        <f>1-(1-I30)*($I$28/I29)</f>
        <v>0.51227182320030706</v>
      </c>
      <c r="N31">
        <f>1-(1-N30)*($I$28/N29)</f>
        <v>0.25487459377868782</v>
      </c>
      <c r="S31">
        <f>1-(1-S30)*($I$28/S29)</f>
        <v>0.540643167839998</v>
      </c>
      <c r="X31">
        <f>1-(1-X30)*($I$28/X29)</f>
        <v>0.58076178427534086</v>
      </c>
      <c r="AC31">
        <f>1-(1-AC30)*($I$28/AC29)</f>
        <v>0.56701364257193188</v>
      </c>
      <c r="AG31">
        <f>1-(1-AG30)*($I$28/AG29)</f>
        <v>0.51689120992025772</v>
      </c>
      <c r="AK31">
        <f>1-(1-AK30)*($I$28/AK29)</f>
        <v>0.29699491375077502</v>
      </c>
      <c r="AO31">
        <f>1-(1-AO30)*($I$28/AO29)</f>
        <v>0.29853206050145642</v>
      </c>
      <c r="AS31">
        <f>1-(1-AS30)*($I$28/AS29)</f>
        <v>0.5166257451667986</v>
      </c>
      <c r="AW31">
        <f>1-(1-AW30)*($I$28/AW29)</f>
        <v>0.17388267589633943</v>
      </c>
    </row>
    <row r="32" spans="1:51" x14ac:dyDescent="0.25">
      <c r="A32" s="1" t="s">
        <v>48</v>
      </c>
      <c r="B32" s="1" t="s">
        <v>49</v>
      </c>
      <c r="X32" s="1" t="s">
        <v>57</v>
      </c>
    </row>
    <row r="33" spans="1:27" x14ac:dyDescent="0.25">
      <c r="A33" s="1" t="s">
        <v>48</v>
      </c>
      <c r="B33" s="1" t="s">
        <v>51</v>
      </c>
    </row>
    <row r="34" spans="1:27" x14ac:dyDescent="0.25">
      <c r="A34" s="1" t="s">
        <v>49</v>
      </c>
      <c r="B34" s="1" t="s">
        <v>51</v>
      </c>
      <c r="I34" t="s">
        <v>58</v>
      </c>
      <c r="J34"/>
      <c r="K34"/>
      <c r="L34"/>
      <c r="M34"/>
      <c r="N34"/>
      <c r="O34"/>
      <c r="P34"/>
      <c r="Q34"/>
    </row>
    <row r="35" spans="1:27" ht="15.75" thickBot="1" x14ac:dyDescent="0.3">
      <c r="I35"/>
      <c r="J35"/>
      <c r="K35"/>
      <c r="L35"/>
      <c r="M35"/>
      <c r="N35"/>
      <c r="O35"/>
      <c r="P35"/>
      <c r="Q35"/>
    </row>
    <row r="36" spans="1:27" x14ac:dyDescent="0.25">
      <c r="I36" s="25" t="s">
        <v>59</v>
      </c>
      <c r="J36" s="25"/>
      <c r="K36"/>
      <c r="L36"/>
      <c r="M36"/>
      <c r="N36"/>
      <c r="O36"/>
      <c r="P36"/>
      <c r="Q36"/>
      <c r="X36" s="19"/>
      <c r="Y36" s="19"/>
      <c r="Z36" s="19"/>
      <c r="AA36" s="19"/>
    </row>
    <row r="37" spans="1:27" x14ac:dyDescent="0.25">
      <c r="I37" s="22" t="s">
        <v>60</v>
      </c>
      <c r="J37" s="22">
        <v>0.80433655395073256</v>
      </c>
      <c r="K37"/>
      <c r="L37"/>
      <c r="M37"/>
      <c r="N37"/>
      <c r="O37"/>
      <c r="P37"/>
      <c r="Q37"/>
      <c r="X37" s="19"/>
      <c r="Y37" s="19"/>
      <c r="Z37" s="19"/>
      <c r="AA37" s="19"/>
    </row>
    <row r="38" spans="1:27" x14ac:dyDescent="0.25">
      <c r="I38" s="22" t="s">
        <v>61</v>
      </c>
      <c r="J38" s="22">
        <v>0.64695729202133967</v>
      </c>
      <c r="K38"/>
      <c r="L38"/>
      <c r="M38"/>
      <c r="N38"/>
      <c r="O38"/>
      <c r="P38"/>
      <c r="Q38"/>
      <c r="X38" s="19"/>
      <c r="Y38" s="19"/>
      <c r="Z38" s="19"/>
      <c r="AA38" s="19"/>
    </row>
    <row r="39" spans="1:27" x14ac:dyDescent="0.25">
      <c r="I39" s="22" t="s">
        <v>62</v>
      </c>
      <c r="J39" s="22">
        <v>0.58076178427534086</v>
      </c>
      <c r="K39"/>
      <c r="L39"/>
      <c r="M39"/>
      <c r="N39"/>
      <c r="O39"/>
      <c r="P39"/>
      <c r="Q39"/>
      <c r="X39" s="19"/>
      <c r="Y39" s="19"/>
      <c r="Z39" s="19"/>
      <c r="AA39" s="19"/>
    </row>
    <row r="40" spans="1:27" x14ac:dyDescent="0.25">
      <c r="I40" s="22" t="s">
        <v>63</v>
      </c>
      <c r="J40" s="22">
        <v>63.776072209620651</v>
      </c>
      <c r="K40"/>
      <c r="L40"/>
      <c r="M40"/>
      <c r="N40"/>
      <c r="O40"/>
      <c r="P40"/>
      <c r="Q40"/>
      <c r="X40" s="19"/>
      <c r="Y40" s="19"/>
      <c r="Z40" s="19"/>
      <c r="AA40" s="19"/>
    </row>
    <row r="41" spans="1:27" ht="15.75" thickBot="1" x14ac:dyDescent="0.3">
      <c r="I41" s="23" t="s">
        <v>64</v>
      </c>
      <c r="J41" s="23">
        <v>20</v>
      </c>
      <c r="K41"/>
      <c r="L41"/>
      <c r="M41"/>
      <c r="N41"/>
      <c r="O41"/>
      <c r="P41"/>
      <c r="Q41"/>
      <c r="X41" s="19"/>
      <c r="Y41" s="19"/>
      <c r="Z41" s="19"/>
      <c r="AA41" s="19"/>
    </row>
    <row r="42" spans="1:27" x14ac:dyDescent="0.25">
      <c r="I42"/>
      <c r="J42"/>
      <c r="K42"/>
      <c r="L42"/>
      <c r="M42"/>
      <c r="N42"/>
      <c r="O42"/>
      <c r="P42"/>
      <c r="Q42"/>
      <c r="X42" s="19"/>
      <c r="Y42" s="19"/>
      <c r="Z42" s="19"/>
      <c r="AA42" s="19"/>
    </row>
    <row r="43" spans="1:27" ht="15.75" thickBot="1" x14ac:dyDescent="0.3">
      <c r="I43" t="s">
        <v>65</v>
      </c>
      <c r="J43"/>
      <c r="K43"/>
      <c r="L43"/>
      <c r="M43"/>
      <c r="N43"/>
      <c r="O43"/>
      <c r="P43"/>
      <c r="Q43"/>
      <c r="X43" s="19"/>
      <c r="Y43" s="19"/>
      <c r="Z43" s="19"/>
      <c r="AA43" s="19"/>
    </row>
    <row r="44" spans="1:27" x14ac:dyDescent="0.25">
      <c r="I44" s="24"/>
      <c r="J44" s="24" t="s">
        <v>70</v>
      </c>
      <c r="K44" s="24" t="s">
        <v>71</v>
      </c>
      <c r="L44" s="24" t="s">
        <v>72</v>
      </c>
      <c r="M44" s="24" t="s">
        <v>73</v>
      </c>
      <c r="N44" s="24" t="s">
        <v>74</v>
      </c>
      <c r="O44"/>
      <c r="P44"/>
      <c r="Q44"/>
      <c r="X44" s="19"/>
      <c r="Y44" s="19"/>
      <c r="Z44" s="19"/>
      <c r="AA44" s="19"/>
    </row>
    <row r="45" spans="1:27" x14ac:dyDescent="0.25">
      <c r="I45" s="22" t="s">
        <v>66</v>
      </c>
      <c r="J45" s="22">
        <v>3</v>
      </c>
      <c r="K45" s="22">
        <v>119257.00181621205</v>
      </c>
      <c r="L45" s="22">
        <v>39752.333938737349</v>
      </c>
      <c r="M45" s="22">
        <v>9.773431975230146</v>
      </c>
      <c r="N45" s="22">
        <v>6.6718848163187662E-4</v>
      </c>
      <c r="O45"/>
      <c r="P45"/>
      <c r="Q45"/>
      <c r="X45" s="19"/>
      <c r="Y45" s="19"/>
      <c r="Z45" s="19"/>
      <c r="AA45" s="19"/>
    </row>
    <row r="46" spans="1:27" x14ac:dyDescent="0.25">
      <c r="I46" s="22" t="s">
        <v>67</v>
      </c>
      <c r="J46" s="22">
        <v>16</v>
      </c>
      <c r="K46" s="22">
        <v>65078.198183787958</v>
      </c>
      <c r="L46" s="22">
        <v>4067.3873864867473</v>
      </c>
      <c r="M46" s="22"/>
      <c r="N46" s="22"/>
      <c r="O46"/>
      <c r="P46"/>
      <c r="Q46"/>
      <c r="X46" s="19"/>
      <c r="Y46" s="19"/>
      <c r="Z46" s="19"/>
      <c r="AA46" s="19"/>
    </row>
    <row r="47" spans="1:27" ht="15.75" thickBot="1" x14ac:dyDescent="0.3">
      <c r="I47" s="23" t="s">
        <v>68</v>
      </c>
      <c r="J47" s="23">
        <v>19</v>
      </c>
      <c r="K47" s="23">
        <v>184335.2</v>
      </c>
      <c r="L47" s="23"/>
      <c r="M47" s="23"/>
      <c r="N47" s="23"/>
      <c r="O47"/>
      <c r="P47"/>
      <c r="Q47"/>
      <c r="X47" s="19"/>
      <c r="Y47" s="19"/>
      <c r="Z47" s="19"/>
      <c r="AA47" s="19"/>
    </row>
    <row r="48" spans="1:27" ht="15.75" thickBot="1" x14ac:dyDescent="0.3">
      <c r="I48"/>
      <c r="J48"/>
      <c r="K48"/>
      <c r="L48"/>
      <c r="M48"/>
      <c r="N48"/>
      <c r="O48"/>
      <c r="P48"/>
      <c r="Q48"/>
      <c r="X48" s="19"/>
      <c r="Y48" s="19"/>
      <c r="Z48" s="19"/>
      <c r="AA48" s="19"/>
    </row>
    <row r="49" spans="9:27" x14ac:dyDescent="0.25">
      <c r="I49" s="24"/>
      <c r="J49" s="24" t="s">
        <v>75</v>
      </c>
      <c r="K49" s="24" t="s">
        <v>63</v>
      </c>
      <c r="L49" s="24" t="s">
        <v>76</v>
      </c>
      <c r="M49" s="24" t="s">
        <v>77</v>
      </c>
      <c r="N49" s="24" t="s">
        <v>78</v>
      </c>
      <c r="O49" s="24" t="s">
        <v>79</v>
      </c>
      <c r="P49" s="24" t="s">
        <v>80</v>
      </c>
      <c r="Q49" s="24" t="s">
        <v>81</v>
      </c>
      <c r="X49" s="19"/>
      <c r="Y49" s="19"/>
      <c r="Z49" s="19"/>
      <c r="AA49" s="19"/>
    </row>
    <row r="50" spans="9:27" x14ac:dyDescent="0.25">
      <c r="I50" s="22" t="s">
        <v>69</v>
      </c>
      <c r="J50" s="22">
        <v>-216.09285755606484</v>
      </c>
      <c r="K50" s="22">
        <v>103.33092386884132</v>
      </c>
      <c r="L50" s="22">
        <v>-2.0912699651302162</v>
      </c>
      <c r="M50" s="22">
        <v>5.2813234348292444E-2</v>
      </c>
      <c r="N50" s="22">
        <v>-435.14463063904964</v>
      </c>
      <c r="O50" s="22">
        <v>2.9589155269199523</v>
      </c>
      <c r="P50" s="22">
        <v>-435.14463063904964</v>
      </c>
      <c r="Q50" s="22">
        <v>2.9589155269199523</v>
      </c>
      <c r="X50" s="19"/>
      <c r="Y50" s="19"/>
      <c r="Z50" s="19"/>
      <c r="AA50" s="19"/>
    </row>
    <row r="51" spans="9:27" x14ac:dyDescent="0.25">
      <c r="I51" s="22" t="s">
        <v>82</v>
      </c>
      <c r="J51" s="22">
        <v>-5.3860226126135444</v>
      </c>
      <c r="K51" s="22">
        <v>2.8426597132180036</v>
      </c>
      <c r="L51" s="22">
        <v>-1.8947124017585464</v>
      </c>
      <c r="M51" s="22">
        <v>7.6349200992366348E-2</v>
      </c>
      <c r="N51" s="22">
        <v>-11.412192002547163</v>
      </c>
      <c r="O51" s="22">
        <v>0.64014677732007463</v>
      </c>
      <c r="P51" s="22">
        <v>-11.412192002547163</v>
      </c>
      <c r="Q51" s="22">
        <v>0.64014677732007463</v>
      </c>
      <c r="X51" s="19"/>
      <c r="Y51" s="19"/>
      <c r="Z51" s="19"/>
      <c r="AA51" s="19"/>
    </row>
    <row r="52" spans="9:27" x14ac:dyDescent="0.25">
      <c r="I52" s="22" t="s">
        <v>83</v>
      </c>
      <c r="J52" s="22">
        <v>9.9558985290867348</v>
      </c>
      <c r="K52" s="22">
        <v>2.8222436306810152</v>
      </c>
      <c r="L52" s="22">
        <v>3.5276538215392654</v>
      </c>
      <c r="M52" s="22">
        <v>2.7954021140828727E-3</v>
      </c>
      <c r="N52" s="22">
        <v>3.9730093007126159</v>
      </c>
      <c r="O52" s="22">
        <v>15.938787757460855</v>
      </c>
      <c r="P52" s="22">
        <v>3.9730093007126159</v>
      </c>
      <c r="Q52" s="22">
        <v>15.938787757460855</v>
      </c>
      <c r="X52" s="19"/>
      <c r="Y52" s="19"/>
      <c r="Z52" s="19"/>
      <c r="AA52" s="19"/>
    </row>
    <row r="53" spans="9:27" ht="15.75" thickBot="1" x14ac:dyDescent="0.3">
      <c r="I53" s="23" t="s">
        <v>84</v>
      </c>
      <c r="J53" s="23">
        <v>1.2511861634928614</v>
      </c>
      <c r="K53" s="23">
        <v>1.0025595973128736</v>
      </c>
      <c r="L53" s="23">
        <v>1.2479918070171321</v>
      </c>
      <c r="M53" s="23">
        <v>0.22998969017830609</v>
      </c>
      <c r="N53" s="23">
        <v>-0.87414523963582691</v>
      </c>
      <c r="O53" s="23">
        <v>3.3765175666215494</v>
      </c>
      <c r="P53" s="23">
        <v>-0.87414523963582691</v>
      </c>
      <c r="Q53" s="23">
        <v>3.3765175666215494</v>
      </c>
      <c r="X53" s="19"/>
      <c r="Y53" s="19"/>
      <c r="Z53" s="19"/>
      <c r="AA53" s="19"/>
    </row>
    <row r="54" spans="9:27" x14ac:dyDescent="0.25">
      <c r="I54"/>
      <c r="J54"/>
      <c r="K54"/>
      <c r="L54"/>
      <c r="M54"/>
      <c r="N54"/>
      <c r="O54"/>
      <c r="P54"/>
      <c r="Q54"/>
      <c r="X54" s="19"/>
      <c r="Y54" s="19"/>
      <c r="Z54" s="19"/>
      <c r="AA54" s="19"/>
    </row>
    <row r="55" spans="9:27" x14ac:dyDescent="0.25">
      <c r="I55"/>
      <c r="J55"/>
      <c r="K55"/>
      <c r="L55"/>
      <c r="M55"/>
      <c r="N55"/>
      <c r="O55"/>
      <c r="P55"/>
      <c r="Q55"/>
      <c r="X55" s="19"/>
      <c r="Y55" s="19"/>
      <c r="Z55" s="19"/>
      <c r="AA55" s="19"/>
    </row>
    <row r="56" spans="9:27" x14ac:dyDescent="0.25">
      <c r="I56" t="s">
        <v>85</v>
      </c>
      <c r="J56">
        <f>N45</f>
        <v>6.6718848163187662E-4</v>
      </c>
      <c r="K56" t="s">
        <v>86</v>
      </c>
      <c r="L56"/>
      <c r="M56"/>
      <c r="N56"/>
      <c r="O56"/>
      <c r="P56"/>
      <c r="Q56"/>
      <c r="X56" s="19"/>
      <c r="Y56" s="19"/>
      <c r="Z56" s="19"/>
      <c r="AA56" s="19"/>
    </row>
    <row r="58" spans="9:27" x14ac:dyDescent="0.25">
      <c r="I58" t="s">
        <v>87</v>
      </c>
      <c r="J58"/>
      <c r="K58"/>
      <c r="L58"/>
      <c r="M58"/>
    </row>
    <row r="59" spans="9:27" x14ac:dyDescent="0.25">
      <c r="I59" s="26" t="s">
        <v>88</v>
      </c>
      <c r="J59">
        <f>M50</f>
        <v>5.2813234348292444E-2</v>
      </c>
      <c r="K59" t="s">
        <v>97</v>
      </c>
      <c r="L59"/>
      <c r="M59"/>
    </row>
    <row r="60" spans="9:27" x14ac:dyDescent="0.25">
      <c r="I60" s="26" t="s">
        <v>89</v>
      </c>
      <c r="J60">
        <f>M51</f>
        <v>7.6349200992366348E-2</v>
      </c>
      <c r="K60" t="s">
        <v>96</v>
      </c>
      <c r="L60"/>
      <c r="M60"/>
    </row>
    <row r="61" spans="9:27" x14ac:dyDescent="0.25">
      <c r="I61" s="26" t="s">
        <v>94</v>
      </c>
      <c r="J61">
        <f>M52</f>
        <v>2.7954021140828727E-3</v>
      </c>
      <c r="K61" t="s">
        <v>98</v>
      </c>
      <c r="L61"/>
      <c r="M61"/>
    </row>
    <row r="62" spans="9:27" x14ac:dyDescent="0.25">
      <c r="I62" s="26" t="s">
        <v>95</v>
      </c>
      <c r="J62">
        <f>M53</f>
        <v>0.22998969017830609</v>
      </c>
      <c r="K62" t="s">
        <v>99</v>
      </c>
      <c r="L62"/>
      <c r="M62"/>
    </row>
    <row r="63" spans="9:27" x14ac:dyDescent="0.25">
      <c r="I63"/>
      <c r="J63"/>
      <c r="K63"/>
      <c r="L63"/>
      <c r="M63"/>
    </row>
    <row r="64" spans="9:27" x14ac:dyDescent="0.25">
      <c r="I64" s="27" t="s">
        <v>90</v>
      </c>
      <c r="J64"/>
      <c r="K64"/>
      <c r="L64"/>
      <c r="M64"/>
      <c r="X64"/>
    </row>
    <row r="65" spans="9:24" x14ac:dyDescent="0.25">
      <c r="I65" s="28" t="s">
        <v>91</v>
      </c>
      <c r="J65">
        <f>_xlfn.STDEV.S(X2:X21)</f>
        <v>98.497982880762308</v>
      </c>
      <c r="K65"/>
      <c r="L65"/>
      <c r="M65"/>
      <c r="X65"/>
    </row>
    <row r="66" spans="9:24" x14ac:dyDescent="0.25">
      <c r="I66" s="28" t="s">
        <v>92</v>
      </c>
      <c r="J66">
        <f>_xlfn.STDEV.S(Y2:Y21)</f>
        <v>15.315626694739949</v>
      </c>
      <c r="K66"/>
      <c r="L66" s="29" t="s">
        <v>93</v>
      </c>
      <c r="M66">
        <f>ABS((J51*J66)/$J$65)</f>
        <v>0.83748224371332003</v>
      </c>
      <c r="X66"/>
    </row>
    <row r="67" spans="9:24" x14ac:dyDescent="0.25">
      <c r="I67" s="28" t="s">
        <v>100</v>
      </c>
      <c r="J67">
        <f>_xlfn.STDEV.S(Z2:Z21)</f>
        <v>15.866250178818124</v>
      </c>
      <c r="K67"/>
      <c r="L67" s="29" t="s">
        <v>102</v>
      </c>
      <c r="M67">
        <f t="shared" ref="M67:M68" si="0">ABS((J52*J67)/$J$65)</f>
        <v>1.6037158548580723</v>
      </c>
    </row>
    <row r="68" spans="9:24" x14ac:dyDescent="0.25">
      <c r="I68" s="28" t="s">
        <v>101</v>
      </c>
      <c r="J68">
        <f>_xlfn.STDEV.S(AA2:AA21)</f>
        <v>15.958547454016774</v>
      </c>
      <c r="K68"/>
      <c r="L68" s="29" t="s">
        <v>103</v>
      </c>
      <c r="M68">
        <f t="shared" si="0"/>
        <v>0.20271596615416379</v>
      </c>
    </row>
    <row r="69" spans="9:24" x14ac:dyDescent="0.25">
      <c r="J69"/>
      <c r="K69"/>
      <c r="L69"/>
      <c r="M69"/>
    </row>
    <row r="70" spans="9:24" x14ac:dyDescent="0.25">
      <c r="I70" s="30" t="s">
        <v>104</v>
      </c>
      <c r="J70"/>
      <c r="K70"/>
      <c r="L70"/>
      <c r="M70"/>
    </row>
    <row r="71" spans="9:24" x14ac:dyDescent="0.25">
      <c r="I71" s="30" t="s">
        <v>105</v>
      </c>
    </row>
    <row r="72" spans="9:24" x14ac:dyDescent="0.25">
      <c r="I72" s="30" t="s">
        <v>106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Лист2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2024-05-19T13:10:01Z</dcterms:modified>
</cp:coreProperties>
</file>