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BA Study Material\BAN_630-Optimization Methods for Analytics\Project\"/>
    </mc:Choice>
  </mc:AlternateContent>
  <xr:revisionPtr revIDLastSave="0" documentId="13_ncr:1_{D9274DB1-8909-42DE-90D0-F8C783D22AEF}" xr6:coauthVersionLast="47" xr6:coauthVersionMax="47" xr10:uidLastSave="{00000000-0000-0000-0000-000000000000}"/>
  <bookViews>
    <workbookView xWindow="-120" yWindow="-120" windowWidth="20730" windowHeight="11160" xr2:uid="{2B2D252A-4939-4750-94B5-DC2B8F3104A3}"/>
  </bookViews>
  <sheets>
    <sheet name="LP model Formulation" sheetId="26" r:id="rId1"/>
    <sheet name="LP model solution" sheetId="11" r:id="rId2"/>
    <sheet name="Sensitivity Report" sheetId="45" r:id="rId3"/>
    <sheet name="Final model-4 dv_STS" sheetId="14" state="veryHidden" r:id="rId4"/>
    <sheet name="Q4_STS" sheetId="5" state="veryHidden" r:id="rId5"/>
    <sheet name="Sensitivity Report 1_STS" sheetId="22" state="veryHidden" r:id="rId6"/>
    <sheet name="LP model solution_STS" sheetId="28" state="veryHidden" r:id="rId7"/>
    <sheet name="Sensitivity Report_STS" sheetId="37" state="veryHidden" r:id="rId8"/>
    <sheet name="1 way -max baking time" sheetId="51" r:id="rId9"/>
    <sheet name="1 way-Max amount of pizza dough" sheetId="54" r:id="rId10"/>
    <sheet name="1 Way -max Storage Capacity" sheetId="49" r:id="rId11"/>
    <sheet name="1 Way-Profit per Hawaiian Pizza" sheetId="53" r:id="rId12"/>
    <sheet name="2 Way-Stor.capacity vs profit" sheetId="47" r:id="rId13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ChartData" localSheetId="8">'1 way -max baking time'!$K$5:$K$15</definedName>
    <definedName name="ChartData" localSheetId="10">'1 Way -max Storage Capacity'!$K$5:$K$20</definedName>
    <definedName name="ChartData" localSheetId="9">'1 way-Max amount of pizza dough'!$K$5:$K$29</definedName>
    <definedName name="ChartData" localSheetId="11">'1 Way-Profit per Hawaiian Pizza'!$K$5:$K$25</definedName>
    <definedName name="ChartData1" localSheetId="12">'2 Way-Stor.capacity vs profit'!$M$5:$M$14</definedName>
    <definedName name="ChartData2" localSheetId="12">'2 Way-Stor.capacity vs profit'!$Q$5:$Q$25</definedName>
    <definedName name="InputValues" localSheetId="8">'1 way -max baking time'!$A$5:$A$15</definedName>
    <definedName name="InputValues" localSheetId="10">'1 Way -max Storage Capacity'!$A$5:$A$20</definedName>
    <definedName name="InputValues" localSheetId="9">'1 way-Max amount of pizza dough'!$A$5:$A$29</definedName>
    <definedName name="InputValues" localSheetId="11">'1 Way-Profit per Hawaiian Pizza'!$A$5:$A$25</definedName>
    <definedName name="InputValues1" localSheetId="12">'2 Way-Stor.capacity vs profit'!$A$5:$A$25</definedName>
    <definedName name="InputValues2" localSheetId="12">'2 Way-Stor.capacity vs profit'!$B$4:$K$4</definedName>
    <definedName name="OutputAddresses" localSheetId="8">'1 way -max baking time'!$B$4:$F$4</definedName>
    <definedName name="OutputAddresses" localSheetId="10">'1 Way -max Storage Capacity'!$B$4:$F$4</definedName>
    <definedName name="OutputAddresses" localSheetId="9">'1 way-Max amount of pizza dough'!$B$4:$F$4</definedName>
    <definedName name="OutputAddresses" localSheetId="11">'1 Way-Profit per Hawaiian Pizza'!$B$4:$F$4</definedName>
    <definedName name="OutputAddresses" localSheetId="12">'2 Way-Stor.capacity vs profit'!$AZ$2:$AZ$6</definedName>
    <definedName name="OutputValues" localSheetId="8">'1 way -max baking time'!$B$5:$F$15</definedName>
    <definedName name="OutputValues" localSheetId="10">'1 Way -max Storage Capacity'!$B$5:$F$20</definedName>
    <definedName name="OutputValues" localSheetId="9">'1 way-Max amount of pizza dough'!$B$5:$F$29</definedName>
    <definedName name="OutputValues" localSheetId="11">'1 Way-Profit per Hawaiian Pizza'!$B$5:$F$25</definedName>
    <definedName name="OutputValues_1" localSheetId="12">'2 Way-Stor.capacity vs profit'!$B$5:$K$25</definedName>
    <definedName name="OutputValues_2" localSheetId="12">'2 Way-Stor.capacity vs profit'!$B$28:$K$48</definedName>
    <definedName name="OutputValues_3" localSheetId="12">'2 Way-Stor.capacity vs profit'!$B$51:$K$71</definedName>
    <definedName name="OutputValues_4" localSheetId="12">'2 Way-Stor.capacity vs profit'!$B$74:$K$94</definedName>
    <definedName name="OutputValues_5" localSheetId="12">'2 Way-Stor.capacity vs profit'!$B$97:$K$117</definedName>
    <definedName name="Pal_Workbook_GUID" hidden="1">"JZNB1RU515I9AG5XQDANKCR7"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olver_adj" localSheetId="1" hidden="1">'LP model solution'!$D$7:$D$10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'LP model solution'!$C$18:$C$19</definedName>
    <definedName name="solver_lhs2" localSheetId="1" hidden="1">'LP model solution'!$C$20:$C$23</definedName>
    <definedName name="solver_lhs3" localSheetId="1" hidden="1">'LP model solution'!$C$24:$C$30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'LP model solution'!$D$15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el3" localSheetId="1" hidden="1">1</definedName>
    <definedName name="solver_rhs1" localSheetId="1" hidden="1">'LP model solution'!$E$18:$E$19</definedName>
    <definedName name="solver_rhs2" localSheetId="1" hidden="1">'LP model solution'!$E$20:$E$23</definedName>
    <definedName name="solver_rhs3" localSheetId="1" hidden="1">'LP model solution'!$E$24:$E$30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54" l="1"/>
  <c r="K29" i="54"/>
  <c r="K28" i="54"/>
  <c r="K27" i="54"/>
  <c r="K26" i="54"/>
  <c r="K25" i="54"/>
  <c r="K24" i="54"/>
  <c r="K23" i="54"/>
  <c r="K22" i="54"/>
  <c r="K21" i="54"/>
  <c r="K20" i="54"/>
  <c r="K19" i="54"/>
  <c r="K18" i="54"/>
  <c r="K17" i="54"/>
  <c r="K16" i="54"/>
  <c r="K15" i="54"/>
  <c r="K14" i="54"/>
  <c r="K13" i="54"/>
  <c r="K12" i="54"/>
  <c r="K11" i="54"/>
  <c r="K10" i="54"/>
  <c r="K9" i="54"/>
  <c r="K8" i="54"/>
  <c r="K7" i="54"/>
  <c r="K6" i="54"/>
  <c r="K5" i="54"/>
  <c r="J4" i="54"/>
  <c r="K1" i="53"/>
  <c r="K25" i="53"/>
  <c r="K24" i="53"/>
  <c r="K23" i="53"/>
  <c r="K22" i="53"/>
  <c r="K21" i="53"/>
  <c r="K20" i="53"/>
  <c r="K19" i="53"/>
  <c r="K18" i="53"/>
  <c r="K17" i="53"/>
  <c r="K16" i="53"/>
  <c r="K15" i="53"/>
  <c r="K14" i="53"/>
  <c r="K13" i="53"/>
  <c r="K12" i="53"/>
  <c r="K11" i="53"/>
  <c r="K10" i="53"/>
  <c r="K9" i="53"/>
  <c r="K8" i="53"/>
  <c r="K7" i="53"/>
  <c r="K6" i="53"/>
  <c r="K5" i="53"/>
  <c r="J4" i="53"/>
  <c r="K1" i="51"/>
  <c r="J4" i="51"/>
  <c r="K15" i="51" s="1"/>
  <c r="K1" i="49"/>
  <c r="J4" i="49"/>
  <c r="K9" i="49" s="1"/>
  <c r="K5" i="51" l="1"/>
  <c r="K7" i="51"/>
  <c r="K9" i="51"/>
  <c r="K11" i="51"/>
  <c r="K13" i="51"/>
  <c r="K14" i="51"/>
  <c r="K6" i="51"/>
  <c r="K8" i="51"/>
  <c r="K10" i="51"/>
  <c r="K12" i="51"/>
  <c r="K14" i="49"/>
  <c r="K10" i="49"/>
  <c r="K11" i="49"/>
  <c r="K12" i="49"/>
  <c r="K13" i="49"/>
  <c r="K15" i="49"/>
  <c r="K16" i="49"/>
  <c r="K17" i="49"/>
  <c r="K18" i="49"/>
  <c r="K7" i="49"/>
  <c r="K8" i="49"/>
  <c r="K20" i="49"/>
  <c r="K5" i="49"/>
  <c r="K6" i="49"/>
  <c r="K19" i="49"/>
  <c r="Q1" i="47" l="1"/>
  <c r="M1" i="47"/>
  <c r="S4" i="47"/>
  <c r="P4" i="47"/>
  <c r="P5" i="47" s="1"/>
  <c r="O4" i="47"/>
  <c r="L4" i="47"/>
  <c r="L5" i="47" s="1"/>
  <c r="C30" i="11"/>
  <c r="C23" i="11"/>
  <c r="C29" i="11" a="1"/>
  <c r="C29" i="11" s="1"/>
  <c r="C28" i="11" a="1"/>
  <c r="C28" i="11" s="1"/>
  <c r="C27" i="11" a="1"/>
  <c r="C27" i="11" s="1"/>
  <c r="C26" i="11" a="1"/>
  <c r="C26" i="11" s="1"/>
  <c r="C25" i="11" a="1"/>
  <c r="C25" i="11" s="1"/>
  <c r="C24" i="11" a="1"/>
  <c r="C24" i="11" s="1"/>
  <c r="C19" i="11"/>
  <c r="C18" i="11"/>
  <c r="D12" i="11"/>
  <c r="D15" i="11"/>
  <c r="C22" i="11"/>
  <c r="C21" i="11"/>
  <c r="C20" i="11"/>
  <c r="Q19" i="47"/>
  <c r="M7" i="47"/>
  <c r="Q23" i="47"/>
  <c r="Q11" i="47"/>
  <c r="Q7" i="47"/>
  <c r="Q10" i="47"/>
  <c r="Q24" i="47"/>
  <c r="M5" i="47"/>
  <c r="Q15" i="47"/>
  <c r="Q20" i="47"/>
  <c r="Q6" i="47"/>
  <c r="Q25" i="47"/>
  <c r="M6" i="47"/>
  <c r="Q17" i="47"/>
  <c r="M9" i="47"/>
  <c r="Q9" i="47"/>
  <c r="Q8" i="47"/>
  <c r="Q18" i="47"/>
  <c r="Q21" i="47"/>
  <c r="Q5" i="47"/>
  <c r="M8" i="47"/>
  <c r="M13" i="47"/>
  <c r="Q13" i="47"/>
  <c r="M10" i="47"/>
  <c r="Q22" i="47"/>
  <c r="M12" i="47"/>
  <c r="Q14" i="47"/>
  <c r="Q16" i="47"/>
  <c r="Q12" i="47"/>
  <c r="M11" i="47"/>
  <c r="M14" i="4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STSC</author>
  </authors>
  <commentList>
    <comment ref="B5" authorId="0" shapeId="0" xr:uid="{26D219BC-AFA2-43DE-A3A2-AED5F80DCC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62FF8EFB-A374-4A93-8E6B-7A8A008AF1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1A52D22D-C220-4522-9036-9B3A49D4B5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760516C9-EB9B-499C-96DC-EA5B003455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00091637-F304-4D4B-870C-5DF18685D54C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99A8B3ED-2A5E-432E-8317-3F76F0A1EEEE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EA4F83E6-2AE8-4B6D-A323-2E7E90544808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51D1991B-C028-4656-B1A6-6D6B61046B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422FB7A8-E23A-4E20-B7FB-1D857453AE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0107534C-5B85-4A18-952E-29631A089AE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" authorId="0" shapeId="0" xr:uid="{EAFBF27E-4818-40AE-A050-9FCE9070BC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Bharathi Raja</author>
  </authors>
  <commentList>
    <comment ref="B5" authorId="0" shapeId="0" xr:uid="{5A80C8E6-0688-4BA9-B96B-FEBB1EFCB4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4867CC84-86D6-4863-AFE4-8E1C3B4947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42040517-B62C-46EC-AB04-A79A81A418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EBF2C9DF-39B0-412F-9EFB-5134994D3C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4F60DF8A-ECD3-49D3-84D5-74428D59FF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7213095A-FFF7-46FE-BE54-6D53FF6240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37740195-C60E-4C23-875E-0EB7BBE3B4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F941EBC0-1556-4AB5-95B2-7235119326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3431A771-0C5B-4254-B8D5-CF129864C9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FB95C17E-6716-4EE7-9967-94E34F048D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" authorId="0" shapeId="0" xr:uid="{DB000318-1B56-4B14-BF6C-8663B10C12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" authorId="0" shapeId="0" xr:uid="{86DF2182-26D7-439A-AB2A-9C7B2C6CBB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" authorId="0" shapeId="0" xr:uid="{6C733834-2DE8-493B-ABF7-323B1D9B2F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" authorId="0" shapeId="0" xr:uid="{42EBDED3-DAE9-432B-A034-A4B3860008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" authorId="0" shapeId="0" xr:uid="{BFF216AE-3AA7-40F3-B16B-E2BDAD5BA9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" authorId="0" shapeId="0" xr:uid="{E309CA59-F671-43DB-A126-2F556BF91D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" authorId="0" shapeId="0" xr:uid="{F7AAF547-850A-4B6C-899F-BD2606021E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" authorId="0" shapeId="0" xr:uid="{C63CDF12-4500-4A7F-9E05-8B86D3FE54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" authorId="0" shapeId="0" xr:uid="{119E6416-6D58-4E88-B55A-C14F3A2938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" authorId="0" shapeId="0" xr:uid="{89048EE9-E8D6-46F7-8491-2CE3E67A58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" authorId="0" shapeId="0" xr:uid="{8A061021-DAF6-444B-A35F-37D6B63A40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6" authorId="0" shapeId="0" xr:uid="{B8540548-F73D-47E7-946C-7312FAC60C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7" authorId="0" shapeId="0" xr:uid="{3ADA1EAC-0705-4D4B-8124-82F6C22BD8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" authorId="0" shapeId="0" xr:uid="{4C8038E4-4E9D-4723-AB97-21BD2C35C9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" authorId="0" shapeId="0" xr:uid="{56EB9CB6-02DA-4BCE-8E5F-DF3C8DC7AD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STSC</author>
  </authors>
  <commentList>
    <comment ref="B5" authorId="0" shapeId="0" xr:uid="{4B4FF83F-79AD-4341-B4F6-E91B6BE70C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AEBF6CD5-118F-46BA-A37D-C0F6F4E75F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E6314452-DD26-4AE6-99E3-BEB49B7459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FDF38280-50DB-4861-B2F9-A792708E47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EC4E5E3C-B565-49B7-956E-0F1AB0DF4D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D3BD6E90-FAF6-43E3-B519-095D35E6FD0E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C94E1D1D-AE3C-428D-840B-83F3C1C0F3F8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6078D5EB-5BDC-45B8-85FD-4231EDDABFE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045D3C4B-23DF-49C1-9D2A-0AB5FEBA5998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D9519571-85B1-47B7-96D7-671D5CDC5A56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15" authorId="0" shapeId="0" xr:uid="{269687B8-B0B4-4DA7-B644-EAE847F98E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" authorId="0" shapeId="0" xr:uid="{7D5AC479-FFAA-4220-A8CD-FAD911ED4D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" authorId="0" shapeId="0" xr:uid="{BDAD2024-E17B-4134-8C81-61F3697F55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" authorId="0" shapeId="0" xr:uid="{AD582EF4-01E4-4E62-8788-C18CAACA45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" authorId="0" shapeId="0" xr:uid="{3FE5B721-DD9D-4D73-B1AE-0305D90B73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" authorId="0" shapeId="0" xr:uid="{829E790C-1CD0-4819-B024-E39E493120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Bharathi Raja</author>
  </authors>
  <commentList>
    <comment ref="B5" authorId="0" shapeId="0" xr:uid="{3983C5B3-688A-43F0-8D7C-9400826371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BCE45892-67DE-4522-88F1-CB79AD4127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6930B1E1-C214-4F8B-9452-428450C323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6B6D7EA0-7FDE-487F-B600-0F6B126559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C7252B0B-2066-4CAA-8C1F-CE89B4AC4A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A55A5D7E-3454-4C95-B006-9B88BC8D8E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C23F5769-ADFE-4408-A42C-B3827EA26E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623D5276-816D-436D-BAA0-5AC71F7889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B73323CA-1F94-4A60-87CD-41EA7636BF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83EB843E-995D-413D-8F1E-FDB1C6D476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" authorId="0" shapeId="0" xr:uid="{CF71D2E4-C8F2-42F9-A341-D0C1CB4E4A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" authorId="0" shapeId="0" xr:uid="{7102C360-9CDE-40F9-A418-6CFB19D27C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" authorId="0" shapeId="0" xr:uid="{6FD6D948-B010-4025-8783-94A9C6E80A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" authorId="0" shapeId="0" xr:uid="{0E075AB2-0D61-437A-AAA1-DA5A0F71E1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" authorId="0" shapeId="0" xr:uid="{96EDBAEB-76E4-49E4-82AA-D8D8856C83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" authorId="0" shapeId="0" xr:uid="{BA4A1DCF-37A9-4DBD-80C5-47FC59CE65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" authorId="0" shapeId="0" xr:uid="{DC9E870B-AA2F-44B5-A122-ABBA392462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" authorId="0" shapeId="0" xr:uid="{11ED565B-2697-45EB-9916-F0FB447FE5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" authorId="0" shapeId="0" xr:uid="{636AC5CB-ADD1-444D-83D2-EF0A66DC3B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" authorId="0" shapeId="0" xr:uid="{4062FF6D-1126-43B5-8B0E-A3912E6CA0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" authorId="0" shapeId="0" xr:uid="{D0359A05-6177-482C-AC86-8A096D3F4E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STSC</author>
  </authors>
  <commentList>
    <comment ref="B5" authorId="0" shapeId="0" xr:uid="{DEF0F6BD-3533-4018-A607-8B4AE34ED5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" authorId="0" shapeId="0" xr:uid="{57AE70B3-520A-404B-8C86-ABD2A81E3C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" authorId="0" shapeId="0" xr:uid="{9F8E54A4-540D-4C61-BA77-DF4EE7904B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" authorId="0" shapeId="0" xr:uid="{064657B6-89A8-4AA8-B799-0699FAF827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" authorId="0" shapeId="0" xr:uid="{807A8315-DFB3-4AA8-86E8-B3E0AC42C9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" authorId="0" shapeId="0" xr:uid="{43D12214-0753-48A8-AFBA-14A2E86421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" authorId="0" shapeId="0" xr:uid="{511063E7-75B4-4639-9E40-2CA2ACD625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" authorId="0" shapeId="0" xr:uid="{B2AE4B59-A24C-40AB-9380-270B6A8971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" authorId="0" shapeId="0" xr:uid="{DF5BFA3B-05D1-4EA0-931A-D40C3686B2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" authorId="0" shapeId="0" xr:uid="{32FB3263-B6E5-4BB9-AA14-FE0A9852E4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CFA103EA-771C-41AC-B6E9-D008967689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" authorId="0" shapeId="0" xr:uid="{1F0FAC67-B31F-4DE6-AE72-E2BF5D2714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" authorId="0" shapeId="0" xr:uid="{32CB924F-CFDC-4EDE-A82D-A4A41A22FB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" authorId="0" shapeId="0" xr:uid="{A49DB413-DE85-4C8C-BA93-65B080262F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" authorId="0" shapeId="0" xr:uid="{B3F4303E-58AA-4762-B5A0-61B52A4EDB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" authorId="0" shapeId="0" xr:uid="{13FA84F7-5911-4108-8C81-0E2383C092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" authorId="0" shapeId="0" xr:uid="{3F299DBC-078C-496A-A228-63DA25B195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" authorId="0" shapeId="0" xr:uid="{28CEF9CA-F383-495C-883E-3DDAA9684F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" authorId="0" shapeId="0" xr:uid="{9AEEF645-296C-4BBF-B017-071461373C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" authorId="0" shapeId="0" xr:uid="{98E3EEA9-2D30-44F6-9F3A-4D631F4895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AC721346-DB24-4A24-B9FF-54963EAA4E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" authorId="0" shapeId="0" xr:uid="{76303728-5AC4-4C3A-B587-A8A316D3A6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7" authorId="0" shapeId="0" xr:uid="{C027B791-881F-4891-AA0B-AECC8E212F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" authorId="0" shapeId="0" xr:uid="{749C86E8-9F01-41F8-9C96-6D82B9B722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" authorId="0" shapeId="0" xr:uid="{F9EA58CF-C937-4AF5-9A47-2ABE2F8FD6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" authorId="0" shapeId="0" xr:uid="{0D64A73F-229A-4CD3-AEFA-FB616B20B2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" authorId="0" shapeId="0" xr:uid="{BF9137E4-F99D-4C22-AE83-3833A78059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" authorId="0" shapeId="0" xr:uid="{1252FFF3-316F-499C-84A4-DD83B41ED7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" authorId="0" shapeId="0" xr:uid="{39867150-1A47-4092-AB7D-EAAF92D594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" authorId="0" shapeId="0" xr:uid="{DC7A2D35-528E-47DC-A766-7FAC4854E3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E1BAD8B1-ABCB-4619-9654-811E49C93C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" authorId="0" shapeId="0" xr:uid="{85BBE8D8-1B10-46FA-975E-0406CB9DC9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" authorId="0" shapeId="0" xr:uid="{3291242C-F8F7-4B1B-85AE-EA3E241236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" authorId="0" shapeId="0" xr:uid="{B24E6609-AE1A-4CCD-890B-9087F4A0F0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" authorId="0" shapeId="0" xr:uid="{EB478140-0E2D-4A02-A771-EDB4E679AF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" authorId="0" shapeId="0" xr:uid="{6B8807A2-2781-40C2-A0AD-411021F880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" authorId="0" shapeId="0" xr:uid="{62DCFFCD-CD8F-4C97-9F93-BC374FD952B9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8" authorId="0" shapeId="0" xr:uid="{62D626BA-1731-419C-9148-F35C4D047C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" authorId="0" shapeId="0" xr:uid="{D3582AB8-171B-43D6-90AC-4F7E17FF7E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" authorId="0" shapeId="0" xr:uid="{25E6A5AF-2BDA-4F82-B7BD-10EB1A56B7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53014AF6-2FC4-4BC6-A2AB-178757E5EC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9" authorId="0" shapeId="0" xr:uid="{FED9F7E5-8DDB-465B-9CD9-473A89E1C7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9" authorId="0" shapeId="0" xr:uid="{B1493D92-7C38-4101-92BD-D865443F6A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" authorId="0" shapeId="0" xr:uid="{5866329C-3CFA-4F8D-9255-2921B57E1B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" authorId="0" shapeId="0" xr:uid="{D28665C5-49BA-4F1A-A84F-D7EFA31C8A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" authorId="0" shapeId="0" xr:uid="{986531C8-FDAA-4ABB-AE13-38154F1934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" authorId="0" shapeId="0" xr:uid="{3E1C8665-AF49-478C-8CD1-92C8466D42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" authorId="0" shapeId="0" xr:uid="{C8B99DBF-9880-444D-9C3B-24A6CD9608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" authorId="0" shapeId="0" xr:uid="{89A27734-ACCF-4500-A0B9-57AD17D881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" authorId="0" shapeId="0" xr:uid="{6F3D7E02-E2AF-441F-BE12-FAC1031441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98F6C7E4-F9AB-46B2-8567-5D5C0C1A20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" authorId="0" shapeId="0" xr:uid="{62D2BF7E-E080-4637-92EC-841AD27C6E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0" authorId="0" shapeId="0" xr:uid="{F4AF0D46-5F48-446D-ACCE-6F5DE5D1BE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" authorId="0" shapeId="0" xr:uid="{4F9AF21D-8805-4763-BBB4-77CB149EEE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" authorId="0" shapeId="0" xr:uid="{16AECDCA-63EE-4C01-92C2-9AA5C1466D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" authorId="0" shapeId="0" xr:uid="{460D04EC-3DF6-4316-B02C-469BB04D4C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" authorId="0" shapeId="0" xr:uid="{C62D5AB0-086B-406F-80BD-B927B0815A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" authorId="0" shapeId="0" xr:uid="{A7D55E96-8982-4423-AB48-AABE224217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" authorId="0" shapeId="0" xr:uid="{0089F389-82B6-4D02-AC3D-1B5FF19BFB3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" authorId="0" shapeId="0" xr:uid="{28BE990A-B01C-4A33-A1C3-6C72CB0D99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5BE4D76A-E23E-4E79-8309-A0537CEB01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1" authorId="0" shapeId="0" xr:uid="{67985E5F-9DCE-4AF0-A143-F42A1CAE24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1" authorId="0" shapeId="0" xr:uid="{427374F9-6659-439B-B5CE-0C4F286B8E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1" authorId="0" shapeId="0" xr:uid="{78B3775D-5A9B-468B-B791-36CEF931A2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1" authorId="0" shapeId="0" xr:uid="{258F4C32-363C-4783-A52D-F3AC83BDFA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" authorId="0" shapeId="0" xr:uid="{00B50B90-83FC-42DE-BF38-8A734B02AE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" authorId="0" shapeId="0" xr:uid="{C0247390-0208-419D-BABE-4BA582F092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" authorId="0" shapeId="0" xr:uid="{C1A09A2A-D0FC-4F9D-80E7-63603254D3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" authorId="0" shapeId="0" xr:uid="{AF96A20E-E1E2-4281-9124-BCF8F7365E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" authorId="0" shapeId="0" xr:uid="{F6D26666-96E3-49D2-8880-34453F938E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481FE02E-1316-46D2-B68A-ECC8802946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2" authorId="0" shapeId="0" xr:uid="{DE097545-FE70-4A32-96E8-2E329F8EF3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2" authorId="0" shapeId="0" xr:uid="{EE27C4A6-44C9-4A94-ABD0-3C2F7562F0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2" authorId="0" shapeId="0" xr:uid="{A53E08B1-A454-423B-AD6F-B0E8697654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2" authorId="0" shapeId="0" xr:uid="{8A0677EA-EE1C-4197-8723-2829410F59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2" authorId="0" shapeId="0" xr:uid="{930761D5-8582-4FF2-A195-2DCE706A30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2" authorId="0" shapeId="0" xr:uid="{9D9C69E5-F78A-46C3-B620-D9AA3CCCEF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2" authorId="0" shapeId="0" xr:uid="{A873B966-A393-431F-9FA7-1137655D5F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2" authorId="0" shapeId="0" xr:uid="{6BF6DE00-A4D6-41A4-BCA2-A7DD85FFF9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2" authorId="0" shapeId="0" xr:uid="{80286030-0CC7-4A84-ABF1-F491B5D493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6FCCBB97-EA11-45C3-8DE9-6ADBDABC38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3" authorId="0" shapeId="0" xr:uid="{B3B5954C-7705-4AA3-AE27-2B21F731E5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3" authorId="0" shapeId="0" xr:uid="{68EF1AA3-8AD0-4A36-8EA7-C05CAE719D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3" authorId="0" shapeId="0" xr:uid="{379378B3-D508-4426-ABF7-FC633A2CAC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3" authorId="0" shapeId="0" xr:uid="{48C6DA03-83B8-4776-A385-8213531453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3" authorId="0" shapeId="0" xr:uid="{BA450491-D6EA-4C81-8884-CDE4A22423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3" authorId="0" shapeId="0" xr:uid="{CB63997A-C819-4FBD-AFF7-545ECEF033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3" authorId="0" shapeId="0" xr:uid="{8356051C-270A-46B9-A0DD-4BD98471A7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3" authorId="0" shapeId="0" xr:uid="{C3E3034E-8AF3-4A05-8DF3-D44BA54135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3" authorId="0" shapeId="0" xr:uid="{1777D09D-1F38-4CD7-8A42-1E3ABE19A7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99EC091D-4DE7-4AFE-884B-1A539931B6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4" authorId="0" shapeId="0" xr:uid="{C488B264-ACE4-42DB-ABB1-EAD2F22950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4" authorId="0" shapeId="0" xr:uid="{EB189A28-C533-4DFA-B47E-8D70C9572A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4" authorId="0" shapeId="0" xr:uid="{C9939143-3B1F-4B2A-9987-8328E90432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4" authorId="0" shapeId="0" xr:uid="{BE0F19C2-4DE4-4C9F-B121-EE9262EC4C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4" authorId="0" shapeId="0" xr:uid="{CD8533E6-166C-4546-9543-68A4D6E02E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4" authorId="0" shapeId="0" xr:uid="{4A1DCEFA-2CBC-42B0-929F-6664D665FE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4" authorId="0" shapeId="0" xr:uid="{B9512825-4B11-49D4-BF68-F8CB737779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4" authorId="0" shapeId="0" xr:uid="{5E7B5C67-1BB0-4A5E-A00A-2B26A8A54C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4" authorId="0" shapeId="0" xr:uid="{2B34EB69-BA53-4604-A089-43204689775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" authorId="0" shapeId="0" xr:uid="{BB2F8F70-3FFE-4E17-9962-45BF098FC812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15" authorId="0" shapeId="0" xr:uid="{C886C033-D70C-4815-AD0C-03A284FC0F46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15" authorId="0" shapeId="0" xr:uid="{9469CF53-FE26-4B8F-BE68-FAA9804CC3FA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15" authorId="0" shapeId="0" xr:uid="{88F9982E-AE8A-4A4F-BA61-A2E42EEC21E6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15" authorId="0" shapeId="0" xr:uid="{722B590F-547A-4BF7-9EF1-A2D03A8BDFB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5" authorId="0" shapeId="0" xr:uid="{E1F57257-E7A5-440E-AA9C-3A4B9A1DFA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5" authorId="0" shapeId="0" xr:uid="{7F0A259A-6F04-4BC4-A5A9-BF7277050F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5" authorId="0" shapeId="0" xr:uid="{173A274A-F395-4247-9C78-21E1B09EA7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5" authorId="0" shapeId="0" xr:uid="{814D3E0F-C12B-4150-8064-B3FBF391CE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5" authorId="0" shapeId="0" xr:uid="{21CE1C84-9B66-46DB-9113-19CF51959D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6" authorId="0" shapeId="0" xr:uid="{A30B8C56-FA44-4A85-8FF6-7CE010F068FA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16" authorId="0" shapeId="0" xr:uid="{412CE978-B8B5-473F-8190-08D8D4A9ED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6" authorId="0" shapeId="0" xr:uid="{C113823E-4436-4561-BF3F-034C39138D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6" authorId="0" shapeId="0" xr:uid="{D50DFC9F-1CAB-4E6B-8BB5-94CCD2A8DE6D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16" authorId="0" shapeId="0" xr:uid="{C499E968-87C4-4C63-B43B-D08DF77ACE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6" authorId="0" shapeId="0" xr:uid="{0E123BED-3C82-4CF7-B283-17BF04EFC0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6" authorId="0" shapeId="0" xr:uid="{21D5F2ED-5F60-45F9-90DA-C5D87D4911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6" authorId="0" shapeId="0" xr:uid="{5F20FD58-10CD-4990-BE8B-863423F161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6" authorId="0" shapeId="0" xr:uid="{FCAB0A0D-07D5-467D-A19E-48763480D8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6" authorId="0" shapeId="0" xr:uid="{8F7BD645-49BC-4B82-9263-6D2BB5645B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7" authorId="0" shapeId="0" xr:uid="{58209588-F494-48E1-8EE0-FEB35661CE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7" authorId="0" shapeId="0" xr:uid="{32CD4A56-C9E4-4809-8AE5-413C3A9EF9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7" authorId="0" shapeId="0" xr:uid="{6780229C-536A-4F95-B6DF-2280603BD3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7" authorId="0" shapeId="0" xr:uid="{319DB450-E611-4DE3-87C3-3C64820279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7" authorId="0" shapeId="0" xr:uid="{CABF448E-DD4B-4906-821A-FEFC6BA16414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17" authorId="0" shapeId="0" xr:uid="{7BC6F6FF-9FEC-424C-B720-FABEAB2B2D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7" authorId="0" shapeId="0" xr:uid="{AED4A48C-4005-4D43-8E20-3138C4D6F9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7" authorId="0" shapeId="0" xr:uid="{908B9AA5-4AFB-41D4-BD32-49560FFC53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7" authorId="0" shapeId="0" xr:uid="{AB0CC34A-C9E3-4208-B9F5-B10E05B5B9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7" authorId="0" shapeId="0" xr:uid="{71893366-BC89-48D6-9990-C1924F69B7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" authorId="0" shapeId="0" xr:uid="{B14A4F7F-9D86-46E3-B8A0-60EBE4F46E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8" authorId="0" shapeId="0" xr:uid="{59FB081C-3E4C-4B90-8883-2D257AADE3D9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18" authorId="0" shapeId="0" xr:uid="{8E141F07-8CE3-4E90-9EDD-8A43F98B3B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8" authorId="0" shapeId="0" xr:uid="{306ADC25-F25D-4266-889B-444D99956B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8" authorId="0" shapeId="0" xr:uid="{A50943B7-298A-41D7-A3D4-A5DE3F5F67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8" authorId="0" shapeId="0" xr:uid="{87EDE061-E873-4B56-A659-450DE21308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8" authorId="0" shapeId="0" xr:uid="{4D21664E-FCE8-4AA5-ABCD-F647D416CE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8" authorId="0" shapeId="0" xr:uid="{42DCC2D2-2E08-4982-AFA4-CE5101F1A2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8" authorId="0" shapeId="0" xr:uid="{BDCF5620-BEAD-468D-B2E4-ACB87FD8B1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8" authorId="0" shapeId="0" xr:uid="{9D0EB64D-3BC7-439A-AB4C-C6D3890A90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9" authorId="0" shapeId="0" xr:uid="{52E93EB7-9547-4B09-82BF-AF17E1806C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9" authorId="0" shapeId="0" xr:uid="{C5223948-3F7D-4F8C-862C-24F19EB0A8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9" authorId="0" shapeId="0" xr:uid="{0F68A84D-C7E1-4606-AA74-513BBA3A54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9" authorId="0" shapeId="0" xr:uid="{9A071177-EB25-4437-9441-EAD8DC50D6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9" authorId="0" shapeId="0" xr:uid="{6788CC5F-6912-4AEB-9876-387D88123E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9" authorId="0" shapeId="0" xr:uid="{57FDCCF2-F303-48A9-81AF-E75D917C0A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9" authorId="0" shapeId="0" xr:uid="{685B8A0E-E49D-4F53-A580-90F06861D1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9" authorId="0" shapeId="0" xr:uid="{C3A5308F-59F2-44F4-AF11-AF6E3FA239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9" authorId="0" shapeId="0" xr:uid="{D703C8A1-6882-4288-B15B-9AF6B8D7FB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9" authorId="0" shapeId="0" xr:uid="{C73B0568-F89C-49AA-90B4-D8D58A09AC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0" authorId="0" shapeId="0" xr:uid="{7FF772F7-EA71-49B0-992C-2F516A1F57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0" authorId="0" shapeId="0" xr:uid="{EBCF373E-95FC-4957-824E-F1987A0B6E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0" authorId="0" shapeId="0" xr:uid="{6F5A02E3-C732-4D8C-9CDE-1B6C107195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0" authorId="0" shapeId="0" xr:uid="{52B9BFF0-DF38-4951-82CF-60E775146D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0" authorId="0" shapeId="0" xr:uid="{349D200A-10CD-402A-ABA5-6F76490644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0" authorId="0" shapeId="0" xr:uid="{7CCC70F6-B123-4817-BBE6-CC9E3329AC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0" authorId="0" shapeId="0" xr:uid="{68931D0F-CE24-4C34-A03D-FFA6E2220F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0" authorId="0" shapeId="0" xr:uid="{42A42952-0D11-4BE8-9A40-65F6FFF3F4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0" authorId="0" shapeId="0" xr:uid="{7FC76803-2460-41D2-8513-E53CB8D7B8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0" authorId="0" shapeId="0" xr:uid="{1B256A66-9FCB-4307-BEB0-838C797DE3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1" authorId="0" shapeId="0" xr:uid="{110CD5D1-DA85-4FCF-8766-1B61DCDFDA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1" authorId="0" shapeId="0" xr:uid="{CB4D6CCC-B546-40CF-ABD1-6DCC32CE81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1" authorId="0" shapeId="0" xr:uid="{3FB7076E-D91D-4197-9002-576192EF3D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1" authorId="0" shapeId="0" xr:uid="{D9DAF69F-D246-4219-BA54-D520ADC667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1" authorId="0" shapeId="0" xr:uid="{E848DAA8-44C6-4E33-AE2A-3D90230B9AC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1" authorId="0" shapeId="0" xr:uid="{14B9B4C2-01E5-4C43-A252-3A124F4F96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1" authorId="0" shapeId="0" xr:uid="{266A974E-803B-4A9D-95FB-9B6FD0E076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1" authorId="0" shapeId="0" xr:uid="{B5D3813C-3A2F-483B-AAB5-C10B2FD938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1" authorId="0" shapeId="0" xr:uid="{3FF5E6E9-4901-406F-A3FA-0D6496CF7BA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1" authorId="0" shapeId="0" xr:uid="{3D57285A-BA4A-4AF1-B61B-F1F22D3418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2" authorId="0" shapeId="0" xr:uid="{4198DA77-559F-4F40-8596-8213A5AFC2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2" authorId="0" shapeId="0" xr:uid="{6E4AADDA-C967-4A4C-9395-C85E93EF09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2" authorId="0" shapeId="0" xr:uid="{DC5585FB-1131-45F8-BCCC-B22407EE54D4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22" authorId="0" shapeId="0" xr:uid="{AE1CF24A-8257-4747-9391-8F53A3CC20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2" authorId="0" shapeId="0" xr:uid="{9F5CC6E4-ACF3-49AD-A3B6-DFA6537ED0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2" authorId="0" shapeId="0" xr:uid="{B03C3F1F-CCD6-4A53-B40E-E58CFA457D7B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22" authorId="0" shapeId="0" xr:uid="{CDE90E0F-C5B8-4421-9C83-9D83D1426D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2" authorId="0" shapeId="0" xr:uid="{01C2CB21-7F57-4D5F-A081-B44A91970F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2" authorId="0" shapeId="0" xr:uid="{D201E416-A4C4-41DA-8EA4-C088C3642E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2" authorId="0" shapeId="0" xr:uid="{3474B1B6-1854-4B87-B086-54AFC8A1BA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3" authorId="0" shapeId="0" xr:uid="{8E6D6E4A-B28E-4268-AA8E-FD63CC2A90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3" authorId="0" shapeId="0" xr:uid="{EA762F54-7360-49D2-BBDA-0025C3D4F2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3" authorId="0" shapeId="0" xr:uid="{DAC0FA3C-B3DA-4455-A28F-A56525E3CB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3" authorId="0" shapeId="0" xr:uid="{12D8B1DF-829B-472D-8348-854E2F8521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3" authorId="0" shapeId="0" xr:uid="{EAD01E55-8D5C-456A-A2EB-F159124570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3" authorId="0" shapeId="0" xr:uid="{51D2A95D-D922-4F32-A8AF-A415E556F6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3" authorId="0" shapeId="0" xr:uid="{2269C3A3-768E-484F-99EA-31FE7D5A5D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3" authorId="0" shapeId="0" xr:uid="{D10D8AB2-36E0-4488-BDF3-41C32208A6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3" authorId="0" shapeId="0" xr:uid="{D129B38F-78FC-4FB1-900A-DDEC610A25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3" authorId="0" shapeId="0" xr:uid="{1218E0BE-AAC7-44E2-B770-4D1D334F67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4" authorId="0" shapeId="0" xr:uid="{21A56109-423D-46E1-A825-EF9EF308B2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4" authorId="0" shapeId="0" xr:uid="{73BFC96C-6B39-4C06-87BC-D703CC4F9D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4" authorId="0" shapeId="0" xr:uid="{1D35DE5E-AAC6-4BB3-8AAC-86AB19B58BD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4" authorId="0" shapeId="0" xr:uid="{BA9AB388-169C-4520-A1BF-B72B7ECD28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4" authorId="0" shapeId="0" xr:uid="{C8CE672E-D008-4FE1-9DCB-C394C5B211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4" authorId="0" shapeId="0" xr:uid="{0DCB551F-CBF1-4794-9691-23324D00DF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4" authorId="0" shapeId="0" xr:uid="{F65A62B6-CD50-4A87-8FB4-3FB5C1091E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4" authorId="0" shapeId="0" xr:uid="{4D6C907F-EB6B-426D-BF8F-28190AFD252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4" authorId="0" shapeId="0" xr:uid="{638EC108-AF14-4F04-8635-D3B95FF2A12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4" authorId="0" shapeId="0" xr:uid="{8A1E6ADE-1F73-46F9-946A-D3195D49CB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5" authorId="0" shapeId="0" xr:uid="{2B115F9B-4ECC-40C7-9039-AD11732A2B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5" authorId="0" shapeId="0" xr:uid="{C39CE484-EE2A-4917-8BDF-23612FF7E2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5" authorId="0" shapeId="0" xr:uid="{E0CA26C4-A6F7-490D-8BB8-7F935B1EDF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5" authorId="0" shapeId="0" xr:uid="{9F1BBE0B-450B-4E4F-A16D-99094ED948A5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25" authorId="0" shapeId="0" xr:uid="{C6C9461D-E675-4D2C-9176-1388DFDD9A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5" authorId="0" shapeId="0" xr:uid="{7EBAFB0E-55D2-409D-8AF6-59492871F3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5" authorId="0" shapeId="0" xr:uid="{4A03F2A0-DF6B-4E0A-9A31-C55F146441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5" authorId="0" shapeId="0" xr:uid="{6DE3D560-2E3A-453D-8814-41496BA1CD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5" authorId="0" shapeId="0" xr:uid="{7C1D3CBB-2FE4-437F-B158-C3F974C659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5" authorId="0" shapeId="0" xr:uid="{14F787C3-0A01-49FA-90A0-3545128B7A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8" authorId="0" shapeId="0" xr:uid="{8E6D39D2-95ED-4604-B7C2-8B64E32F02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8" authorId="0" shapeId="0" xr:uid="{40AD8D8E-81ED-4450-B82B-9A59B4E47A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8" authorId="0" shapeId="0" xr:uid="{029FBF12-DD31-4CB6-AC3C-AC3226C32D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8" authorId="0" shapeId="0" xr:uid="{5B296474-00F9-462A-AC40-65AD35ACFA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8" authorId="0" shapeId="0" xr:uid="{C8988AEC-9AB6-4398-AAB9-19C18BB682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8" authorId="0" shapeId="0" xr:uid="{B6D84105-C1B6-4A20-9002-56EC6A869A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8" authorId="0" shapeId="0" xr:uid="{D5A93009-91AA-471F-93F6-2A0FE953F4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8" authorId="0" shapeId="0" xr:uid="{A35D5BF3-C94F-4E5F-B989-7C30ACA08D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8" authorId="0" shapeId="0" xr:uid="{CCBA2E22-2F43-4E96-A772-FF843A21B8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8" authorId="0" shapeId="0" xr:uid="{D0E93618-0A5A-4961-AD0C-33CC16191C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29" authorId="0" shapeId="0" xr:uid="{37003FF8-EEFA-49C8-82B7-5B9CA4B9F8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29" authorId="0" shapeId="0" xr:uid="{AE966567-4467-4E12-BF6E-122AB0E402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29" authorId="0" shapeId="0" xr:uid="{8A6F1AD9-1B63-41D2-8FA1-8199EE30FC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29" authorId="0" shapeId="0" xr:uid="{CD123D78-5A59-481A-A69A-47A263259A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29" authorId="0" shapeId="0" xr:uid="{5C8279E1-2D35-4A24-9ECD-8F66C2FC81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29" authorId="0" shapeId="0" xr:uid="{11427B82-0EE0-4E45-B321-90CCDA72AD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29" authorId="0" shapeId="0" xr:uid="{E00A7E3B-AB1A-4E09-BB79-3EC9B3F14A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29" authorId="0" shapeId="0" xr:uid="{76691C28-350B-4CA4-9B4D-B152709674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29" authorId="0" shapeId="0" xr:uid="{21C1A126-A376-4BE8-A469-2B87FE5791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29" authorId="0" shapeId="0" xr:uid="{ABEED295-A7F4-4B9D-AFE9-F48870F890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0" authorId="0" shapeId="0" xr:uid="{44572C28-0837-486A-B3D2-28EA8C00B3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30" authorId="0" shapeId="0" xr:uid="{EA5DADA1-FD01-4883-900F-D31FFD0B0F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30" authorId="0" shapeId="0" xr:uid="{B79F263D-DD96-456C-9DC5-50FB5E7522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0" authorId="0" shapeId="0" xr:uid="{9632436F-F493-489C-8ABB-F6ED4CB576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0" authorId="0" shapeId="0" xr:uid="{E999FA76-5A0F-4CA2-9FCE-723C0ABDB2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0" authorId="0" shapeId="0" xr:uid="{225394F7-3137-4802-A729-5BAAC237FF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0" authorId="0" shapeId="0" xr:uid="{884DB7FA-5015-4A0C-AB65-C266FD218B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0" authorId="0" shapeId="0" xr:uid="{A63C5515-737A-4EC3-923A-6A38F8E356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0" authorId="0" shapeId="0" xr:uid="{B8D5EFD6-A752-4337-AA57-5FE68B7FD3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0" authorId="0" shapeId="0" xr:uid="{ED36B493-2288-403E-AC0D-212D533E61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1" authorId="0" shapeId="0" xr:uid="{D1288FE6-0785-43BA-84B7-9CFA57B25B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31" authorId="0" shapeId="0" xr:uid="{D4248866-8217-430C-A506-93C63FDBDB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31" authorId="0" shapeId="0" xr:uid="{C210A8EF-72CD-44E3-9F0D-ABA8631913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1" authorId="0" shapeId="0" xr:uid="{BFD37722-0F90-48D6-A685-DD6D5813D6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1" authorId="0" shapeId="0" xr:uid="{355D8B99-B012-43FC-948C-85B09B1D90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1" authorId="0" shapeId="0" xr:uid="{21D57F00-E2FA-4DA2-9B63-42969682C8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1" authorId="0" shapeId="0" xr:uid="{7897C3C1-FA17-47CE-BF78-A181D8A03DC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1" authorId="0" shapeId="0" xr:uid="{ED778C48-EDA7-4696-9A5B-BAF50DBC53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1" authorId="0" shapeId="0" xr:uid="{4027BEA9-317C-4375-81D9-CE11E166CF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1" authorId="0" shapeId="0" xr:uid="{7745A5C6-7007-4012-9CC3-BEF2C652C8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2" authorId="0" shapeId="0" xr:uid="{393C223B-274E-4F20-981B-A20DAA2120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32" authorId="0" shapeId="0" xr:uid="{727F71A1-25DE-4FD2-B810-CE04C5A047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32" authorId="0" shapeId="0" xr:uid="{A9130F84-2D4E-418C-BA30-800D2B974E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2" authorId="0" shapeId="0" xr:uid="{1B22AE5D-6602-4EEA-AF6B-6C4790F64F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2" authorId="0" shapeId="0" xr:uid="{4A9A5661-2038-40CE-A945-778AE6944D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2" authorId="0" shapeId="0" xr:uid="{DDF4D80E-9672-4241-945B-AC31C9E602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2" authorId="0" shapeId="0" xr:uid="{F7FC55B8-CAD7-4CFC-8D1E-936DA684FA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2" authorId="0" shapeId="0" xr:uid="{B7351953-A6FD-44F0-911A-2AD76BEE25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2" authorId="0" shapeId="0" xr:uid="{63345496-4862-4F38-891E-0ECF353709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2" authorId="0" shapeId="0" xr:uid="{C02797D8-37A5-4426-82DC-DF9BAE1E1E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3" authorId="0" shapeId="0" xr:uid="{6B127522-68E0-4B63-B6F0-D0597E334F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33" authorId="0" shapeId="0" xr:uid="{9D4EBBC8-AA96-4DE7-86C7-56DE2DB1B9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33" authorId="0" shapeId="0" xr:uid="{2FF61092-14FA-4F50-BC21-64C1808529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3" authorId="0" shapeId="0" xr:uid="{6C5AD6E5-46C4-4C02-B913-BB3D08285E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3" authorId="0" shapeId="0" xr:uid="{DC044324-4EDD-4B14-BC27-42BDFB0BF5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3" authorId="0" shapeId="0" xr:uid="{FBDCECDE-353B-42EB-925F-D86309572B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3" authorId="0" shapeId="0" xr:uid="{65A6BBA7-EBEF-4BBE-A811-8130728690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3" authorId="0" shapeId="0" xr:uid="{89806FF6-E43C-4D94-820E-A02AEFC3CE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3" authorId="0" shapeId="0" xr:uid="{DA76A7A8-2625-4366-8CFA-66875B5A56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3" authorId="0" shapeId="0" xr:uid="{F0716047-96BE-4E1B-A2F5-6050C10243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4" authorId="0" shapeId="0" xr:uid="{DDAC416D-733B-421D-9B82-6CA94B85BD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34" authorId="0" shapeId="0" xr:uid="{1FFCE9D5-68AF-4755-B234-DC19D5F28A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34" authorId="0" shapeId="0" xr:uid="{97FA5B82-D68D-4D05-B1C6-141E6BEEF9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4" authorId="0" shapeId="0" xr:uid="{3B5B3AE4-4FCE-4F53-8813-A49F6C0740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4" authorId="0" shapeId="0" xr:uid="{019C2EC8-9661-4982-8A35-B2E34B1DE5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4" authorId="0" shapeId="0" xr:uid="{C1BA5354-CB76-4222-902C-B9BBD19D55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4" authorId="0" shapeId="0" xr:uid="{282B56EC-9604-4CE1-ADDB-82681921B4FB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34" authorId="0" shapeId="0" xr:uid="{4F370124-0935-4742-A960-1C53C97E23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4" authorId="0" shapeId="0" xr:uid="{591B547D-5A27-4F60-8CBE-601094C44A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4" authorId="0" shapeId="0" xr:uid="{F947944C-520F-43D0-B9C2-3A44177427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5" authorId="0" shapeId="0" xr:uid="{E5F91A74-CB9C-4501-AD47-33598990D5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35" authorId="0" shapeId="0" xr:uid="{6DA9DB78-242D-4485-AFA6-A4576D92CA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35" authorId="0" shapeId="0" xr:uid="{51CFE705-B6B9-4EE0-B97E-7DFDA12498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5" authorId="0" shapeId="0" xr:uid="{AE8B57B9-CEAB-4E02-84E8-640549A722F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5" authorId="0" shapeId="0" xr:uid="{030986EC-7FF8-4EAB-926A-6539C77625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5" authorId="0" shapeId="0" xr:uid="{BAC94AF1-3BD3-4BF7-988B-53D060BF3D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5" authorId="0" shapeId="0" xr:uid="{0927B0A1-8F0B-4767-80ED-1EDB251874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5" authorId="0" shapeId="0" xr:uid="{6882F32F-9C85-4B2E-BAB8-4068FBDEA6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5" authorId="0" shapeId="0" xr:uid="{3AD9CF31-B276-40BC-BEC7-7EDF9F108C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5" authorId="0" shapeId="0" xr:uid="{393B2D94-DFEF-434B-9D3D-88D1BD3EA40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6" authorId="0" shapeId="0" xr:uid="{E1B90750-B4E5-440C-8CF5-D50A515281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36" authorId="0" shapeId="0" xr:uid="{705660BB-81A8-4A69-997A-FAD85A4665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36" authorId="0" shapeId="0" xr:uid="{6F9EC8EC-45D7-4206-A3B7-44A6C04259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6" authorId="0" shapeId="0" xr:uid="{ACFD8884-D413-42EA-886F-26F5A6D1E5A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6" authorId="0" shapeId="0" xr:uid="{00EF1088-E79A-47C1-A597-1449E0C359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6" authorId="0" shapeId="0" xr:uid="{8B91E8FB-A59F-42D6-8B20-907AED14F8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6" authorId="0" shapeId="0" xr:uid="{646A2781-A86C-425C-B799-72545A9CB4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6" authorId="0" shapeId="0" xr:uid="{D1192EAB-345D-41DC-914C-1BA89B7642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6" authorId="0" shapeId="0" xr:uid="{284C8079-F256-40A5-A116-42769B0E73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6" authorId="0" shapeId="0" xr:uid="{F44DF50E-BB28-4ACD-87BD-2007CD57F9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7" authorId="0" shapeId="0" xr:uid="{B39BE6A1-7B33-413D-A40D-83B1440541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37" authorId="0" shapeId="0" xr:uid="{453C57EA-2ACE-4D51-9117-9E11931539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37" authorId="0" shapeId="0" xr:uid="{E241536B-2C3B-4BEA-853A-7BE5CEFDD6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7" authorId="0" shapeId="0" xr:uid="{1D361163-6714-47FF-8697-C253E184B0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7" authorId="0" shapeId="0" xr:uid="{EE960AAD-2465-4616-9A85-562207D202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7" authorId="0" shapeId="0" xr:uid="{05B5425D-A017-4EF9-8DDC-2940B3C3F3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7" authorId="0" shapeId="0" xr:uid="{9342ECDA-4C94-4B87-B1A8-D5D13254A3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7" authorId="0" shapeId="0" xr:uid="{228A277D-464B-499A-ACC7-A9407E0CF7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7" authorId="0" shapeId="0" xr:uid="{F05766FA-CC78-4F4E-AEA7-5084F41F28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7" authorId="0" shapeId="0" xr:uid="{4B7ECC0B-6955-41F9-9959-6EB7A0FD3D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8" authorId="0" shapeId="0" xr:uid="{A25F9C2D-E265-4516-B88A-E85908E79E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38" authorId="0" shapeId="0" xr:uid="{AED9CBA3-799B-4EF4-AB7B-5C35064399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38" authorId="0" shapeId="0" xr:uid="{9BA2FCAA-4F57-4719-8354-0A38756BCD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8" authorId="0" shapeId="0" xr:uid="{96CB6D73-8EC5-4AF1-A394-A5FF2453C0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8" authorId="0" shapeId="0" xr:uid="{DFD76905-CAFB-4EF8-A06F-5D17918B72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8" authorId="0" shapeId="0" xr:uid="{2DD2DA70-0B38-42BB-9404-96463A4DC8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8" authorId="0" shapeId="0" xr:uid="{E2CB26C1-8614-4E3C-AA5C-07EE252B37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8" authorId="0" shapeId="0" xr:uid="{28066E8E-E70E-4C96-9F3E-78AF601902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8" authorId="0" shapeId="0" xr:uid="{2E9DB17D-C9A6-49A5-AE7A-C6C04FA61E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8" authorId="0" shapeId="0" xr:uid="{74B9D0C4-F5B5-4A10-B4E5-07F65A5B51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39" authorId="0" shapeId="0" xr:uid="{1C00BB34-7EE8-4A11-A282-A88F408F84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39" authorId="0" shapeId="0" xr:uid="{B25F2A19-F008-4828-98EB-E3D407007D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39" authorId="0" shapeId="0" xr:uid="{C6B92C9E-8DE9-4FC0-A1C3-44E229EEF8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39" authorId="0" shapeId="0" xr:uid="{FDD4C19D-B33A-4329-B6E9-92D523C2B2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39" authorId="0" shapeId="0" xr:uid="{EDAABDAC-D073-401A-BA4B-3D1E4320C8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39" authorId="0" shapeId="0" xr:uid="{3163F83A-8AEC-44F3-B410-210D47AEFF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39" authorId="0" shapeId="0" xr:uid="{B4BB2836-A5F4-45D9-9ACB-27DA7C0D2E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39" authorId="0" shapeId="0" xr:uid="{2412B026-ED85-4814-B7BF-36F7132D9C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39" authorId="0" shapeId="0" xr:uid="{7D3897A1-1D86-4062-A8A3-00CC3C97A7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39" authorId="0" shapeId="0" xr:uid="{A972E8D8-3D8A-4949-9527-CFD66C853C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0" authorId="0" shapeId="0" xr:uid="{45C2D79F-6F78-4B68-9B3A-F3C8FA08E68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40" authorId="0" shapeId="0" xr:uid="{C86447DE-25A2-4CAE-B334-A1C744118B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40" authorId="0" shapeId="0" xr:uid="{56C7134B-04B1-4A5A-8158-732595EE84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0" authorId="0" shapeId="0" xr:uid="{5B0219EC-83CA-4D9F-84FB-7B149B309FB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0" authorId="0" shapeId="0" xr:uid="{6B56DA9D-BEE8-4DE8-9022-1895F38AE0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0" authorId="0" shapeId="0" xr:uid="{7CF75EEC-7A52-4DB0-96E1-5E5D103730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0" authorId="0" shapeId="0" xr:uid="{D5178B5B-372E-4981-BCA1-D2F528FD89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0" authorId="0" shapeId="0" xr:uid="{9857C1E0-4AEA-41CA-8FA3-1C9D019C63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0" authorId="0" shapeId="0" xr:uid="{ED53267A-3D82-461B-AD5B-2D0CC0D4B0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0" authorId="0" shapeId="0" xr:uid="{67506AC6-C3AD-483A-8A7C-63679BFB48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1" authorId="0" shapeId="0" xr:uid="{FC5453B9-7BA8-4F4F-8FD1-5AE956A10B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41" authorId="0" shapeId="0" xr:uid="{1638ED45-BC1E-4723-A782-5F4DA9AEBB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41" authorId="0" shapeId="0" xr:uid="{7BB2E203-2370-4DB6-AFB9-A3503EB8AC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1" authorId="0" shapeId="0" xr:uid="{41BD404F-B94E-4AEA-BFB7-082E791BD5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1" authorId="0" shapeId="0" xr:uid="{9184CBF2-02B6-47C0-B292-08DF816A88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1" authorId="0" shapeId="0" xr:uid="{691A2659-5D25-4C7F-B658-AF3B1A1611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1" authorId="0" shapeId="0" xr:uid="{5FF8BF15-DB3D-4A98-A41C-FDC2E19C92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1" authorId="0" shapeId="0" xr:uid="{A37E0357-DA08-4244-9801-9E1EF1B2678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1" authorId="0" shapeId="0" xr:uid="{A79806E6-8609-423C-AC02-FC343C5F77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1" authorId="0" shapeId="0" xr:uid="{0BD00066-BAD5-4C8B-80E6-AF31BFD6CB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2" authorId="0" shapeId="0" xr:uid="{F3F8957B-14FC-4EDD-AC0C-797FABC7F9F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42" authorId="0" shapeId="0" xr:uid="{6AB58C94-9F6D-416D-B49E-A261FA47A1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42" authorId="0" shapeId="0" xr:uid="{542BD6F2-51DD-49B9-A673-D98066DB7C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2" authorId="0" shapeId="0" xr:uid="{58E9757E-94D4-46DE-9B1F-BDCD84536A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2" authorId="0" shapeId="0" xr:uid="{C467FDDD-2502-4E13-8899-2A5E0128A9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2" authorId="0" shapeId="0" xr:uid="{2660537E-A2E3-47B2-84F9-B8712B8F48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2" authorId="0" shapeId="0" xr:uid="{892B185D-7B28-4C64-9DFE-4BB43D7BCB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2" authorId="0" shapeId="0" xr:uid="{A431FA21-3F06-4411-9F04-6D59AC66323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2" authorId="0" shapeId="0" xr:uid="{E9F70CCD-EF13-4789-9903-4EE42F80B2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2" authorId="0" shapeId="0" xr:uid="{8E0B23E5-6E3D-4668-8B59-8ABB0B0005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3" authorId="0" shapeId="0" xr:uid="{AB12D586-4582-484B-BF36-76B010C473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43" authorId="0" shapeId="0" xr:uid="{75CB4E97-0A85-43C2-82DA-50E67D52D47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43" authorId="0" shapeId="0" xr:uid="{76F733B9-7DF3-4A0F-95BC-0D8DB8D664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3" authorId="0" shapeId="0" xr:uid="{4AC44048-E806-4CD5-B43E-0DAC7A58A8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3" authorId="0" shapeId="0" xr:uid="{84F0497A-B9F3-4AF0-87E8-24127F77AE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3" authorId="0" shapeId="0" xr:uid="{4344EAF9-534A-430E-881E-0569AC6E15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3" authorId="0" shapeId="0" xr:uid="{0C0257D4-3369-4E5A-B5C1-0E3F382972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3" authorId="0" shapeId="0" xr:uid="{2C203AFB-1EE0-4D3C-B7E8-8A04F80FA6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3" authorId="0" shapeId="0" xr:uid="{4AA3CF19-6CD8-48A8-A8D4-83046F2125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3" authorId="0" shapeId="0" xr:uid="{AB744310-B23A-4A9F-98C9-71A07E3B66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4" authorId="0" shapeId="0" xr:uid="{15795DA4-A854-43C2-8489-EE0656071E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44" authorId="0" shapeId="0" xr:uid="{69BE21DA-843E-425C-82DC-B1A0D8F4F2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44" authorId="0" shapeId="0" xr:uid="{1008F35E-5275-4ECA-9FAC-C5B15E634B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4" authorId="0" shapeId="0" xr:uid="{10301914-862E-4DF1-849F-170336733E5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4" authorId="0" shapeId="0" xr:uid="{7D1F2CEA-B65C-47C8-8611-C79BB898AE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4" authorId="0" shapeId="0" xr:uid="{77836CBD-B63A-4C6F-B6B2-57BBBCF27F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4" authorId="0" shapeId="0" xr:uid="{21ACCF40-5617-4DD8-8872-9770D530C7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4" authorId="0" shapeId="0" xr:uid="{FEEE7A20-BC66-475F-8C57-E23DFD6132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4" authorId="0" shapeId="0" xr:uid="{92BBFF20-B966-47B6-81AC-FD6B9A7981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4" authorId="0" shapeId="0" xr:uid="{C35FE50D-936E-46EC-AC02-6E6F426344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5" authorId="0" shapeId="0" xr:uid="{0CCF626F-1091-4335-A2FC-65D8DEE133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45" authorId="0" shapeId="0" xr:uid="{79DA2C38-9BBB-4EFB-89FA-8E85D6112A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45" authorId="0" shapeId="0" xr:uid="{E9EEC9B4-0039-44BA-8E05-E4B9354CE1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5" authorId="0" shapeId="0" xr:uid="{7F875B2B-AC27-46B5-98C9-8CD93BE6E9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5" authorId="0" shapeId="0" xr:uid="{468BDCA1-4ED1-4E61-ACC0-6504AE08DF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5" authorId="0" shapeId="0" xr:uid="{85C668DD-0B3E-44A6-8537-9C9CA45AEB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5" authorId="0" shapeId="0" xr:uid="{1F6A9034-9FFF-4D7E-8D3C-7C7D943B19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5" authorId="0" shapeId="0" xr:uid="{743BB9F1-10B4-4A54-833C-DCB20880EC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5" authorId="0" shapeId="0" xr:uid="{4D81F3F4-133F-4CD4-AE8E-D6FCE71FEE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5" authorId="0" shapeId="0" xr:uid="{C897F278-36EE-4472-9E0C-FFF0066685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6" authorId="0" shapeId="0" xr:uid="{7CB129E0-B460-4CF7-A8B8-85FAEA92AC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46" authorId="0" shapeId="0" xr:uid="{A23DEBE8-C7F2-42CC-89F1-2BEF0B3BFCB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46" authorId="0" shapeId="0" xr:uid="{AD86663F-5A75-429B-B88B-57099342F5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6" authorId="0" shapeId="0" xr:uid="{5A4FC8C2-6B80-4C1A-B16C-FDE30A199E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6" authorId="0" shapeId="0" xr:uid="{309D7900-03C5-40E0-BB04-9A168017C8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6" authorId="0" shapeId="0" xr:uid="{9E1F7121-6391-4D1F-92D6-1CB7D590E2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6" authorId="0" shapeId="0" xr:uid="{F0220839-D3B8-439D-9761-098AA9FA54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6" authorId="0" shapeId="0" xr:uid="{19BE0C69-ACA0-4131-AEF6-47E8CC315D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6" authorId="0" shapeId="0" xr:uid="{A598F471-5FEC-4A64-B9AA-CC1B7A6F83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6" authorId="0" shapeId="0" xr:uid="{A648B6D9-9768-4F28-907B-1686437CB4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7" authorId="0" shapeId="0" xr:uid="{CF46B0B7-B5F0-48AB-BA13-E4F3CE7DB1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47" authorId="0" shapeId="0" xr:uid="{265A89BA-57F9-4F01-8190-3BA4ED0C48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47" authorId="0" shapeId="0" xr:uid="{42BFE0F1-5133-47C3-9A30-B08CEF3C31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7" authorId="0" shapeId="0" xr:uid="{4143439E-B876-4588-92D8-58E0CC9338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7" authorId="0" shapeId="0" xr:uid="{A46B679D-4D2E-4004-BABF-42D541C36C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7" authorId="0" shapeId="0" xr:uid="{6999F598-4A4C-4B02-AA02-CFB79CA17794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47" authorId="0" shapeId="0" xr:uid="{0CA35448-B3D2-4702-A768-604901125E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7" authorId="0" shapeId="0" xr:uid="{16224015-6FE7-4C75-AFAC-9A7C2CC5C8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7" authorId="0" shapeId="0" xr:uid="{46E0F99F-7627-40D3-8529-0916EB0E0C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7" authorId="0" shapeId="0" xr:uid="{F608C4CF-58F7-49C0-A814-06605B9421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48" authorId="0" shapeId="0" xr:uid="{DEB92D64-0ECF-4CB8-B6C4-CC94DACC33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48" authorId="0" shapeId="0" xr:uid="{4A168779-08F5-493F-9C72-8DFBE5E263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48" authorId="0" shapeId="0" xr:uid="{170D9231-A41F-4552-AC31-D340E1E7AC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48" authorId="0" shapeId="0" xr:uid="{E7858C4D-B4DD-4981-9387-ADD71AB039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48" authorId="0" shapeId="0" xr:uid="{69E54784-CE3C-475E-B40F-0B280793BCD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48" authorId="0" shapeId="0" xr:uid="{152B0487-C16C-46CA-B67E-8120C19E4B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48" authorId="0" shapeId="0" xr:uid="{6D553E30-32C4-43FF-BD92-0DE36EABC0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48" authorId="0" shapeId="0" xr:uid="{BAA5D3AC-2752-4BB5-B3C9-6DDD26AF08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48" authorId="0" shapeId="0" xr:uid="{3A42554B-271D-44C8-9593-253BB15918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48" authorId="0" shapeId="0" xr:uid="{BA3B30FC-C305-4772-B8BC-D33A796A25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1" authorId="0" shapeId="0" xr:uid="{800D6806-A3F1-4F2F-A777-3FBC8EFB48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1" authorId="0" shapeId="0" xr:uid="{2D87D56C-3A6E-4C72-9081-1A78D78BC6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1" authorId="0" shapeId="0" xr:uid="{67D2D100-73C3-4E79-BE9C-1F172481F7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1" authorId="0" shapeId="0" xr:uid="{CA8125B3-17BF-4312-94EA-FCE0785846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1" authorId="0" shapeId="0" xr:uid="{3FCB480D-2C0A-4B41-931E-CFA8B66E72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1" authorId="0" shapeId="0" xr:uid="{FE347E28-A04B-412A-A0CE-DF283DF3A7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1" authorId="0" shapeId="0" xr:uid="{D88112D5-4777-4D70-8A9F-7923C78CCE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1" authorId="0" shapeId="0" xr:uid="{3C869882-54A0-4823-B35F-4583B5675D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1" authorId="0" shapeId="0" xr:uid="{878E05B2-D033-4D94-B260-BA80AE5C6F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1" authorId="0" shapeId="0" xr:uid="{BD24381C-8A65-4C24-B3EE-D83B85D98F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2" authorId="0" shapeId="0" xr:uid="{6CFD385D-116B-4CF9-9873-5666A2C6B7EB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52" authorId="0" shapeId="0" xr:uid="{AA5AB1FA-CC82-41DE-8743-78D9DD154C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2" authorId="0" shapeId="0" xr:uid="{579F4A19-A2D2-4325-A82E-87C40B9E19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2" authorId="0" shapeId="0" xr:uid="{2E41F5B6-FF7F-49E2-A9D5-C35804C9B2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2" authorId="0" shapeId="0" xr:uid="{0AD961C8-98A6-45A8-86C8-3577CE337B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2" authorId="0" shapeId="0" xr:uid="{BF5CEAAE-6490-4EF5-99F9-2B8167F288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2" authorId="0" shapeId="0" xr:uid="{898337ED-4397-4E56-A3F0-7CB3D4AD49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2" authorId="0" shapeId="0" xr:uid="{CCE82992-D898-4D25-8A6A-5E6B7BB1D6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2" authorId="0" shapeId="0" xr:uid="{04BFA36D-B946-47CD-BEC6-55F030E16F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2" authorId="0" shapeId="0" xr:uid="{202709C0-D09A-4388-8C9E-EE0A70759A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3" authorId="0" shapeId="0" xr:uid="{421EB8B1-326B-4A25-8922-65F55A8C9A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3" authorId="0" shapeId="0" xr:uid="{F87EA20E-6156-4ED1-9D52-05265F71E0CE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53" authorId="0" shapeId="0" xr:uid="{2E2B48D7-AC11-4ED5-B34C-FEFDA0443F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3" authorId="0" shapeId="0" xr:uid="{2C1BC232-0966-401E-B0BD-A7794090B6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3" authorId="0" shapeId="0" xr:uid="{1508E4E3-DE00-45BC-B142-4A0BBE7B2F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3" authorId="0" shapeId="0" xr:uid="{16DA49FF-3A47-4107-B25F-87F0DADCFF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3" authorId="0" shapeId="0" xr:uid="{FBE1E6EE-0C40-4809-AD3E-D25FECA5F6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3" authorId="0" shapeId="0" xr:uid="{6794EDC6-BFF3-4BF3-86F1-2707FF9284F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3" authorId="0" shapeId="0" xr:uid="{FB00A3FC-F85C-4027-8325-E6FAFA0C77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3" authorId="0" shapeId="0" xr:uid="{37469B9D-2A32-4D07-9F37-875314A6DF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4" authorId="0" shapeId="0" xr:uid="{894DFFD5-14D9-40A9-AC5F-EF22933401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4" authorId="0" shapeId="0" xr:uid="{2F38FC50-3104-41B6-9D95-288D62CBD2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4" authorId="0" shapeId="0" xr:uid="{43F22C6E-B710-433B-A43C-F078D00BBB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4" authorId="0" shapeId="0" xr:uid="{4FC183CD-E926-44EC-ACD8-AC565DBB20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4" authorId="0" shapeId="0" xr:uid="{9F8B52B1-2FBF-4AB6-A6B5-455F45DAEC86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54" authorId="0" shapeId="0" xr:uid="{73E16480-9D81-4EC1-B257-C0BD4C77DC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4" authorId="0" shapeId="0" xr:uid="{1ABD7B72-FB59-4C30-81F9-B7B786C50F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4" authorId="0" shapeId="0" xr:uid="{5145CBC0-8E21-48B5-9B59-D02439B9F7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4" authorId="0" shapeId="0" xr:uid="{E4224053-54CE-42DC-BAFA-8660848474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4" authorId="0" shapeId="0" xr:uid="{B48E61A7-7772-4064-9C81-163D61A0A8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5" authorId="0" shapeId="0" xr:uid="{5A2173A0-5832-4B01-A037-932A58C768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5" authorId="0" shapeId="0" xr:uid="{5FA8DC24-D487-4FCD-AD01-3271ACCFE8D6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55" authorId="0" shapeId="0" xr:uid="{A7BE5D35-B706-441E-BEA1-7A033E55C1C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5" authorId="0" shapeId="0" xr:uid="{5F62942A-1FA0-44C9-807F-EE915EE981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5" authorId="0" shapeId="0" xr:uid="{4F94A94A-8B87-4029-A6A0-96A60CBF08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5" authorId="0" shapeId="0" xr:uid="{E2ECD42D-55B9-447D-AD99-F06402C0E7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5" authorId="0" shapeId="0" xr:uid="{358291A1-9D9C-4805-8CB6-D6D18B834E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5" authorId="0" shapeId="0" xr:uid="{2A59A30A-FAC5-42A1-A762-C7CDFA1536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5" authorId="0" shapeId="0" xr:uid="{33CECEA4-BD1D-469E-9DF0-13F634929F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5" authorId="0" shapeId="0" xr:uid="{81A56392-ACCF-4BB7-A7BA-B54FEF1594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6" authorId="0" shapeId="0" xr:uid="{BDD9FD08-93F6-4E5D-923A-9E1AC146CD0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6" authorId="0" shapeId="0" xr:uid="{77C13E65-15FB-4286-8FF1-D0100481B0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6" authorId="0" shapeId="0" xr:uid="{542916D3-25A2-4E5A-A321-1F3C682034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6" authorId="0" shapeId="0" xr:uid="{16DD4641-D2B9-4FC0-AD7F-CC1C3F880B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6" authorId="0" shapeId="0" xr:uid="{1B187266-5E3D-4ABF-B947-8841D5A95E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6" authorId="0" shapeId="0" xr:uid="{9A598EC8-3103-48AC-A849-7A94A7B5E1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6" authorId="0" shapeId="0" xr:uid="{BBB7CF6B-3A53-4500-AEF1-0AD11116B592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56" authorId="0" shapeId="0" xr:uid="{D1522413-26E6-4FDF-99E5-FDF9E62425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6" authorId="0" shapeId="0" xr:uid="{41370379-1877-44A1-9191-88AE1AF286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6" authorId="0" shapeId="0" xr:uid="{5524B7EC-B26A-48CB-A816-D071231057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7" authorId="0" shapeId="0" xr:uid="{343BAE03-B62A-4FDD-B107-AC2669FA06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7" authorId="0" shapeId="0" xr:uid="{D6B3F01E-8A9F-4E69-9760-3D127B18F5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7" authorId="0" shapeId="0" xr:uid="{CD8D0E32-8C78-4092-8E75-9691F20E66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7" authorId="0" shapeId="0" xr:uid="{A74071CB-76C8-4BA7-ACD4-44D7B4B944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7" authorId="0" shapeId="0" xr:uid="{588B9675-0C09-4CD9-A477-D48BA2BFB1E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7" authorId="0" shapeId="0" xr:uid="{ED837064-42A8-4097-8735-F15727ACD4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7" authorId="0" shapeId="0" xr:uid="{68210B42-37A6-4A7D-B575-BF4722D929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7" authorId="0" shapeId="0" xr:uid="{0E6EFA25-F84D-4D0B-87A0-37CD03BF87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7" authorId="0" shapeId="0" xr:uid="{CC32504A-2E86-4F3A-84DC-E3DE48A71B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7" authorId="0" shapeId="0" xr:uid="{4CC3B92F-9E25-4593-9D86-9F840865F0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8" authorId="0" shapeId="0" xr:uid="{7D699060-CA4A-4490-8175-0D0DC67BDD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8" authorId="0" shapeId="0" xr:uid="{CFC236A8-B5B7-4415-93DD-AC7FFBE302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8" authorId="0" shapeId="0" xr:uid="{BBD5627D-0C6F-4DF7-A1ED-BC5425DFA9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8" authorId="0" shapeId="0" xr:uid="{84D92F65-D4BA-4E0B-9979-9BF8912A53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8" authorId="0" shapeId="0" xr:uid="{9C548B20-8BB9-4C0A-8060-CD04BA8620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8" authorId="0" shapeId="0" xr:uid="{958FA8C5-7B82-42BF-B31D-05BCF536DF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8" authorId="0" shapeId="0" xr:uid="{5AE02E7F-E30C-4B90-9609-08EA9F3AB1EE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58" authorId="0" shapeId="0" xr:uid="{72262266-7264-43E5-B3E6-C8868507C9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8" authorId="0" shapeId="0" xr:uid="{A9B95924-3F66-47F6-9ED2-CFE5082FC3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8" authorId="0" shapeId="0" xr:uid="{7121E4B1-EDD8-46E2-895D-C02707D727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59" authorId="0" shapeId="0" xr:uid="{6230FF7B-73C2-44EF-A917-BB45B759F8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9" authorId="0" shapeId="0" xr:uid="{A119E700-50D2-4DE8-8BDB-E5B95BDC8D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9" authorId="0" shapeId="0" xr:uid="{ED0DEDE9-8CB4-4194-AE87-99AC60F56C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9" authorId="0" shapeId="0" xr:uid="{6ED53501-B756-4AEC-A7C7-6F31ED7BB0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9" authorId="0" shapeId="0" xr:uid="{5D69C06B-29C6-4A7C-AD72-042F73BFE21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9" authorId="0" shapeId="0" xr:uid="{A093CEEA-E933-4B6E-A649-7F08EBC006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59" authorId="0" shapeId="0" xr:uid="{900F8309-4949-4D03-86A2-472B7C72DF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59" authorId="0" shapeId="0" xr:uid="{6C9BED86-B1DA-4E58-8FB2-CBB4F7267F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59" authorId="0" shapeId="0" xr:uid="{982EA2A2-5649-4DC4-98F6-BC3A169906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59" authorId="0" shapeId="0" xr:uid="{94A61C3A-81A7-4C84-84B5-B1D1613C34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0" authorId="0" shapeId="0" xr:uid="{8301474E-41B6-4300-B57A-BA5C28548F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0" authorId="0" shapeId="0" xr:uid="{E7390157-FBA0-4DB4-BB1A-E8E81F31F7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0" authorId="0" shapeId="0" xr:uid="{E7BCCEFB-EA02-48DE-B014-9FB4311AEC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0" authorId="0" shapeId="0" xr:uid="{1BEE991E-BD14-4819-BC21-6C88273F15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0" authorId="0" shapeId="0" xr:uid="{1ED34489-B6D3-45AC-A789-F3ABB1DBAC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0" authorId="0" shapeId="0" xr:uid="{F2D2D615-80A9-4D8E-97A2-5E5F70FCBD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0" authorId="0" shapeId="0" xr:uid="{F2EB9243-508F-4050-806E-7AB347EC4B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0" authorId="0" shapeId="0" xr:uid="{B153BF7A-E06E-42F5-A29B-844003D287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0" authorId="0" shapeId="0" xr:uid="{6E2DA06E-9402-4EC5-9F34-428669ED94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0" authorId="0" shapeId="0" xr:uid="{7FF09703-4785-445F-88C6-218CA753E9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1" authorId="0" shapeId="0" xr:uid="{CE76FE7D-5DEF-45EC-8E00-852F78EE38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1" authorId="0" shapeId="0" xr:uid="{EAFB5641-DD90-453E-8A48-3BD4375BB8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1" authorId="0" shapeId="0" xr:uid="{ABDFCE99-F830-4EC8-8EC6-BF138684BF1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1" authorId="0" shapeId="0" xr:uid="{A20F8018-10D9-44B5-B10B-3E473B2C15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1" authorId="0" shapeId="0" xr:uid="{65DDEFC2-1C37-4B02-BB1D-D0A195622F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1" authorId="0" shapeId="0" xr:uid="{320EC115-3FA2-4106-A16E-9A7F3E5794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1" authorId="0" shapeId="0" xr:uid="{59B44E50-572A-43E2-8823-6663B989FCA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1" authorId="0" shapeId="0" xr:uid="{1ECDF570-0464-4F73-B1E5-36F8404C36C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1" authorId="0" shapeId="0" xr:uid="{A7911047-8A9D-45A5-AE00-E4D4A31E14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1" authorId="0" shapeId="0" xr:uid="{876BFC5D-BCC7-4F3C-A715-FF5B3A754A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2" authorId="0" shapeId="0" xr:uid="{2C4641A8-2E4B-4C14-A1AD-63353B847C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2" authorId="0" shapeId="0" xr:uid="{3143817A-6470-4744-AF81-3F229A2808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2" authorId="0" shapeId="0" xr:uid="{51467FBD-CA2A-4131-9F36-6653E9A3C7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2" authorId="0" shapeId="0" xr:uid="{EA185A09-44D4-41E6-AB2C-CEB7913D3E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2" authorId="0" shapeId="0" xr:uid="{7E8E482A-0585-4771-B6CF-3E4414C53B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2" authorId="0" shapeId="0" xr:uid="{59B0EFA6-654E-482D-B7A3-7B079654C4D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2" authorId="0" shapeId="0" xr:uid="{DE47C61F-F18B-4B7B-A3BA-27C1AB819D9E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62" authorId="0" shapeId="0" xr:uid="{B47BCC93-489F-4CE0-A2C5-328DB8F7A3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2" authorId="0" shapeId="0" xr:uid="{FDF63F58-6029-488F-91AE-8DC3E33A6BE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2" authorId="0" shapeId="0" xr:uid="{9088E76C-2FB1-4E35-AF1B-81B0A387842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3" authorId="0" shapeId="0" xr:uid="{6650519A-C085-4234-8A75-78DAFE1FC6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3" authorId="0" shapeId="0" xr:uid="{A5A43BAE-3AC4-4622-BA2C-18EBF47B7C1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3" authorId="0" shapeId="0" xr:uid="{C2BD954C-CACC-41DA-AD51-6F6F486842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3" authorId="0" shapeId="0" xr:uid="{5D6E0F46-8E15-47D3-87A8-FCFFA63C9DAE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63" authorId="0" shapeId="0" xr:uid="{BAA97137-0269-4446-8D27-78314EB504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3" authorId="0" shapeId="0" xr:uid="{DBAC38A7-0239-4DC5-B10A-D9C4A8B49E27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63" authorId="0" shapeId="0" xr:uid="{286B502C-4C1F-4581-B624-372FCCD2AC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3" authorId="0" shapeId="0" xr:uid="{D6CEAEB9-2C52-485F-AE73-3E9683173E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3" authorId="0" shapeId="0" xr:uid="{A73E613C-DF8B-4491-A65C-4D7BF91D41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3" authorId="0" shapeId="0" xr:uid="{B5A0349B-C73E-4E93-A66F-9EF5255964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4" authorId="0" shapeId="0" xr:uid="{3DE7C9C1-D8EC-4A8A-A44F-B0CDBD707C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4" authorId="0" shapeId="0" xr:uid="{0E6EAB4F-014A-47F3-B7AB-A1F0659904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4" authorId="0" shapeId="0" xr:uid="{7B232C29-D7C2-4587-B067-D3AA85B564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4" authorId="0" shapeId="0" xr:uid="{6C519147-00D2-4E84-A050-7C65E945C1EF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64" authorId="0" shapeId="0" xr:uid="{69959F51-F011-4E1F-9E9D-5314E52C9E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4" authorId="0" shapeId="0" xr:uid="{CE384FC4-2398-4C1B-8633-D4BEDFCC2C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4" authorId="0" shapeId="0" xr:uid="{A48ADE64-CB00-4898-9C39-EBD7760007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4" authorId="0" shapeId="0" xr:uid="{2663AE6E-27DD-462E-A60A-BBC95769DA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4" authorId="0" shapeId="0" xr:uid="{6E798FBC-0CDB-446F-BB6B-1B1DCC3F14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4" authorId="0" shapeId="0" xr:uid="{94AD3886-3DF5-4181-AE39-41EA39C630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5" authorId="0" shapeId="0" xr:uid="{28956DA9-D6D8-4802-920C-F863CC1F6D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5" authorId="0" shapeId="0" xr:uid="{A29C243E-06C3-4D0F-87A1-B411626DD757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65" authorId="0" shapeId="0" xr:uid="{58F5F2D6-2A76-4C8C-8DC9-822940726BE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5" authorId="0" shapeId="0" xr:uid="{4943D85E-64FF-43DD-956A-E2841706D0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5" authorId="0" shapeId="0" xr:uid="{C35067B4-AA93-463B-BE31-7F00B5D712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5" authorId="0" shapeId="0" xr:uid="{0977EF3D-9B5B-485F-ABF0-74D559ABA1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5" authorId="0" shapeId="0" xr:uid="{75592021-6B25-4B85-A9FA-F7102A70CE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5" authorId="0" shapeId="0" xr:uid="{25D2EDFB-1A68-4F68-BBDC-AB21207284F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5" authorId="0" shapeId="0" xr:uid="{DA48FB4D-400A-4C38-A965-4C59A0946C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5" authorId="0" shapeId="0" xr:uid="{0D91DDED-C7F7-44CA-B506-736995124C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6" authorId="0" shapeId="0" xr:uid="{0C2CF3D6-0A26-4455-A763-C80AE0E2C67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6" authorId="0" shapeId="0" xr:uid="{C5E3A65E-2BE7-4721-B2D4-32199370CC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6" authorId="0" shapeId="0" xr:uid="{D397DF9F-2AA5-4B85-924E-FA4C5233145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6" authorId="0" shapeId="0" xr:uid="{A3036403-0934-4821-843E-4EDFC39C3B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6" authorId="0" shapeId="0" xr:uid="{8ABB8B89-A1EF-42C9-A7B8-D1E1441BDCDA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66" authorId="0" shapeId="0" xr:uid="{57BD4EFE-2BD0-46F4-BB3D-D43481B8ED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6" authorId="0" shapeId="0" xr:uid="{5017EDB5-54D6-4775-9BB7-4AE27130AC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6" authorId="0" shapeId="0" xr:uid="{B1EEC1DC-472D-41C7-9D5C-5686C486C5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6" authorId="0" shapeId="0" xr:uid="{8219E0DE-6BA7-4528-849F-84642BC87F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6" authorId="0" shapeId="0" xr:uid="{2C75DA82-5679-4128-8EE8-F51CD41D93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7" authorId="0" shapeId="0" xr:uid="{193C5596-A21E-4F95-A125-E296AA437C39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C67" authorId="0" shapeId="0" xr:uid="{504F0E9F-4228-4834-999B-68E2CBD6B8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7" authorId="0" shapeId="0" xr:uid="{EBD436DA-6D5A-46BC-9390-7EDD276C3020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67" authorId="0" shapeId="0" xr:uid="{A041713F-8F0E-490B-8926-F6E622B5E6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7" authorId="0" shapeId="0" xr:uid="{8F2B6C22-7EF6-487E-BA03-60492F52607D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67" authorId="0" shapeId="0" xr:uid="{F9681020-574C-41F0-99ED-3EAF7445B4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7" authorId="0" shapeId="0" xr:uid="{0E702F98-0D1A-431B-A7F2-F89A0C23C85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7" authorId="0" shapeId="0" xr:uid="{CAB1AB33-4BB4-437C-817B-77B09FF7BC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67" authorId="0" shapeId="0" xr:uid="{EDDE5CE7-4058-433E-83E6-0345292F14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7" authorId="0" shapeId="0" xr:uid="{75E2F764-3A09-4701-82BA-A36A5A38B7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8" authorId="0" shapeId="0" xr:uid="{D5C174B5-5665-4E40-BF45-0E13E0FEBC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8" authorId="0" shapeId="0" xr:uid="{7D5F6A18-350C-4CED-B085-B392BD236D47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D68" authorId="0" shapeId="0" xr:uid="{B93C9D67-6B93-4E3B-852F-FF00EDE8A24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8" authorId="0" shapeId="0" xr:uid="{A084C2B3-56AF-4D95-B13A-6AC64E326B9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8" authorId="0" shapeId="0" xr:uid="{7068F3EF-74C7-4704-B943-C076CD0A9A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8" authorId="0" shapeId="0" xr:uid="{DD7837C9-6562-49F7-87FA-3179B0662887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68" authorId="0" shapeId="0" xr:uid="{07E955DC-AD69-4E57-B287-24322927CE76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68" authorId="0" shapeId="0" xr:uid="{4D8B383F-00A5-419D-AABE-507E9FBC2575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68" authorId="0" shapeId="0" xr:uid="{21416D83-C150-4253-BB99-D86B6BC2B3E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8" authorId="0" shapeId="0" xr:uid="{2A55BD79-C612-48FA-B18E-06F57AE5A1D4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B69" authorId="0" shapeId="0" xr:uid="{D7FB9299-7901-4E5E-922D-7EF01C631B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9" authorId="0" shapeId="0" xr:uid="{E50BA3E7-366B-4FB9-B68D-1FE0CA6D2A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9" authorId="0" shapeId="0" xr:uid="{B0F00131-BC0E-484E-AAA5-68716A098A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9" authorId="0" shapeId="0" xr:uid="{9DD0A5F1-28FF-45A6-98EA-39BD675279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9" authorId="0" shapeId="0" xr:uid="{830FA8FD-B480-4CD4-BFA8-FB51EAB51B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9" authorId="0" shapeId="0" xr:uid="{E48D0314-0E46-4091-9BAE-A2A687302B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69" authorId="0" shapeId="0" xr:uid="{E3DAEFF2-6EDE-497C-BB0E-34C6DEC1F3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69" authorId="0" shapeId="0" xr:uid="{445676FC-60FB-42E4-8986-4A39DABD9AC7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69" authorId="0" shapeId="0" xr:uid="{3D4BC4A6-B497-414B-9B07-A7FEF254B03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69" authorId="0" shapeId="0" xr:uid="{2CDEB9F1-96DA-4080-836B-E343389A88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0" authorId="0" shapeId="0" xr:uid="{1EB94580-F37E-42F2-B3CA-D1609A05AF4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0" authorId="0" shapeId="0" xr:uid="{640B7C33-C082-4230-86BF-A3713B350E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70" authorId="0" shapeId="0" xr:uid="{3B72880E-B27D-4609-8F65-006FF36D3B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0" authorId="0" shapeId="0" xr:uid="{3E07E562-A183-4DDC-8CA6-B2E3739974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0" authorId="0" shapeId="0" xr:uid="{172A7375-A81B-4982-8B66-9EE6B71300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0" authorId="0" shapeId="0" xr:uid="{54EEE66F-33C5-4B0D-A576-934E8958F3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0" authorId="0" shapeId="0" xr:uid="{B999C336-B19E-45C5-A1DC-BBDDC8D06ECB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I70" authorId="0" shapeId="0" xr:uid="{287F7F1D-6A60-4679-8004-BB600E78A4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0" authorId="0" shapeId="0" xr:uid="{39A0D9D0-AD00-44D3-8A73-E4663D58F5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0" authorId="0" shapeId="0" xr:uid="{3EA34DD9-6A7E-4001-A596-FA927C42D3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1" authorId="0" shapeId="0" xr:uid="{28B657D3-62F7-4C4D-AC24-E678FAFC146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1" authorId="0" shapeId="0" xr:uid="{D6D9996B-0B51-4345-ABE1-65940DE32A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71" authorId="0" shapeId="0" xr:uid="{7F393E23-8617-4898-BEDD-7DE6DDC2F77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1" authorId="0" shapeId="0" xr:uid="{653F0BB6-0D6A-48B2-A5EC-30B4293BF1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1" authorId="0" shapeId="0" xr:uid="{07D9A91C-D210-4DA4-9207-596A00B7E46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1" authorId="0" shapeId="0" xr:uid="{988F1D1D-7334-4C7E-B3B5-0B65C8BF6C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1" authorId="0" shapeId="0" xr:uid="{B05F6D79-1073-43BD-9E30-F94535FD27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1" authorId="0" shapeId="0" xr:uid="{0D13ED2F-0DDE-4D69-8B18-36E1FD538F5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1" authorId="0" shapeId="0" xr:uid="{4A1E66A7-A025-4563-AC7F-C999689746C9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K71" authorId="0" shapeId="0" xr:uid="{295C98BE-0CC3-41F2-A2DC-D28CD7B71C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4" authorId="0" shapeId="0" xr:uid="{65B39D07-9430-4B6C-9312-B69A825AA5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4" authorId="0" shapeId="0" xr:uid="{C6582E35-A05F-4C8C-8766-5FF71F5DFC4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74" authorId="0" shapeId="0" xr:uid="{34142614-69DF-4985-883A-C08A055C98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4" authorId="0" shapeId="0" xr:uid="{BD279D8F-3F56-44B4-8BB8-418FA2426D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4" authorId="0" shapeId="0" xr:uid="{8D9AE127-88E5-47D0-8FA5-C7CFDC0D3B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4" authorId="0" shapeId="0" xr:uid="{587AB313-5252-45C4-9C80-C9D4F4DD19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4" authorId="0" shapeId="0" xr:uid="{6FF043FE-2E29-4AF3-824E-1E8775E032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4" authorId="0" shapeId="0" xr:uid="{5FCE6237-9128-4BA5-B5E0-3E3B281BF0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4" authorId="0" shapeId="0" xr:uid="{76A5E8FC-AC03-4330-9F85-49B1953D21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4" authorId="0" shapeId="0" xr:uid="{2C3F1123-A519-4D1D-8B96-6BCE870C02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5" authorId="0" shapeId="0" xr:uid="{4A2025CE-DAB6-464B-9D5D-17C0F6FE41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5" authorId="0" shapeId="0" xr:uid="{B1BDEC61-CE76-4AAC-AE36-B5D7E8FF1B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75" authorId="0" shapeId="0" xr:uid="{7F68FB4F-EFD5-421F-A0F9-D91402EB2F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5" authorId="0" shapeId="0" xr:uid="{BFD61F91-AB33-4552-9063-47A7CD383B1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5" authorId="0" shapeId="0" xr:uid="{98F776FC-26E5-42BC-ABA7-8AA9F54C39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5" authorId="0" shapeId="0" xr:uid="{543FB735-81D4-4253-9062-F202058F79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5" authorId="0" shapeId="0" xr:uid="{2E2A013C-685A-43D1-81B2-B3817A3747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5" authorId="0" shapeId="0" xr:uid="{B91AC895-7C86-4D7C-BBE3-6ED0C684AE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5" authorId="0" shapeId="0" xr:uid="{D1D8B2A0-886A-4AA9-988B-7417024DD7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5" authorId="0" shapeId="0" xr:uid="{27559193-BDA0-423C-B63F-3CCA2714DA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6" authorId="0" shapeId="0" xr:uid="{C958FFEE-69A8-466D-A69B-C9BF42957A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6" authorId="0" shapeId="0" xr:uid="{DFA21452-9C2B-4FB0-8E67-10E2A69F55C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76" authorId="0" shapeId="0" xr:uid="{346D9368-4F75-4E69-B1E6-B03B5772BF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6" authorId="0" shapeId="0" xr:uid="{08DDF211-3FC9-46A7-97EF-299EB86A1AF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6" authorId="0" shapeId="0" xr:uid="{658DE4B8-835C-4631-9E7E-F0FBD40752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6" authorId="0" shapeId="0" xr:uid="{1CE3C7A2-435A-4824-8842-C426826333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6" authorId="0" shapeId="0" xr:uid="{B7305709-7311-4AAF-8FA9-FA795648A9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6" authorId="0" shapeId="0" xr:uid="{F7D7B49F-ACCD-42DF-B267-810C859809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6" authorId="0" shapeId="0" xr:uid="{1012E3FA-5B59-4E8F-AAA8-17A05684500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6" authorId="0" shapeId="0" xr:uid="{349C120D-5B3F-4604-B57E-4D58E0E89D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7" authorId="0" shapeId="0" xr:uid="{A308F567-CAD3-43A2-9C8C-0223FE808F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7" authorId="0" shapeId="0" xr:uid="{EA428DFC-ACB7-4C3B-AD5A-0E1AC9E910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77" authorId="0" shapeId="0" xr:uid="{615FF28B-D506-4239-A09E-FA3D29218412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77" authorId="0" shapeId="0" xr:uid="{1408846F-3AA9-4E6E-B6DC-84C4276DE3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7" authorId="0" shapeId="0" xr:uid="{BE4DB8C6-7324-4516-A9F8-F08D042E64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7" authorId="0" shapeId="0" xr:uid="{8D7C4973-CE2A-4AE9-80FF-0CCCF1FE3A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7" authorId="0" shapeId="0" xr:uid="{46914F77-F652-47C3-97C9-A0A8CFD819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7" authorId="0" shapeId="0" xr:uid="{44EB83E8-0A8E-40C7-B120-A57279A464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7" authorId="0" shapeId="0" xr:uid="{108D851C-5458-4FDD-87FC-9C5F18A2E5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7" authorId="0" shapeId="0" xr:uid="{441FE9DB-C2EA-4CF6-9462-AC7439BCED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8" authorId="0" shapeId="0" xr:uid="{43317D5F-8143-412B-A0D1-2E3BF94CD2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8" authorId="0" shapeId="0" xr:uid="{F3FBA4D2-B105-4FB8-8741-84BD11C5C3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78" authorId="0" shapeId="0" xr:uid="{87ACF2EA-214C-46E2-84E4-2E6252D357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8" authorId="0" shapeId="0" xr:uid="{182A7F92-C44A-46C2-B97E-F10B493010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8" authorId="0" shapeId="0" xr:uid="{5E7E9AF6-4A5E-4F3C-9254-3CB4DB5F22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8" authorId="0" shapeId="0" xr:uid="{DB4AD5D8-2F0D-494F-A58C-0E20D9A7DD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8" authorId="0" shapeId="0" xr:uid="{1ADC789A-FE4C-4BC5-A930-FEA533ED03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8" authorId="0" shapeId="0" xr:uid="{42D4C944-982B-43B7-B72F-5120E514C74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78" authorId="0" shapeId="0" xr:uid="{24820CA5-6CCA-4394-B0BA-651B926204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8" authorId="0" shapeId="0" xr:uid="{323B765B-A741-4F9C-A4E9-09754E75B6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9" authorId="0" shapeId="0" xr:uid="{2E3F9E3F-DDB9-48FC-8C54-1A28F7603D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9" authorId="0" shapeId="0" xr:uid="{ED0EB137-2FF7-4A35-8E4D-4B202B6B95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79" authorId="0" shapeId="0" xr:uid="{FBCE0DAA-5CE2-4444-B681-CA41E11E5B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9" authorId="0" shapeId="0" xr:uid="{80976E71-204B-4805-979B-163235EF4C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9" authorId="0" shapeId="0" xr:uid="{4798045F-1147-4BCE-A50F-C46B0ACAA7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9" authorId="0" shapeId="0" xr:uid="{2630193A-841E-42C9-8132-467BC59084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79" authorId="0" shapeId="0" xr:uid="{38EC8EAE-7B02-421A-AD99-8A0D8D6F2F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79" authorId="0" shapeId="0" xr:uid="{53B02091-FA42-4FA7-A21F-7A4905A4A631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J79" authorId="0" shapeId="0" xr:uid="{568B7050-BF3B-4592-A47F-4DBE9CFFAE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79" authorId="0" shapeId="0" xr:uid="{6A66409D-6573-424B-AFF5-1A43DCF3E20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0" authorId="0" shapeId="0" xr:uid="{BE90BBDD-5E35-4E9C-B9C8-670363ACF3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0" authorId="0" shapeId="0" xr:uid="{5CD08589-A69B-420D-8082-1B944E708F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0" authorId="0" shapeId="0" xr:uid="{0DB1D704-2D86-4F85-AC3D-5CB9BFEBBF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0" authorId="0" shapeId="0" xr:uid="{38181C24-B712-4DD2-AE05-CD9D16BCFC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0" authorId="0" shapeId="0" xr:uid="{A7DA9A2F-C53F-4EDE-992C-130044DA5C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0" authorId="0" shapeId="0" xr:uid="{52CF01FC-6B99-4CDC-972A-4E82423C86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0" authorId="0" shapeId="0" xr:uid="{291CBF90-6140-4191-90A4-AE85EBF2B7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0" authorId="0" shapeId="0" xr:uid="{5DAD585F-A73C-47A8-A9D7-46ACCF0D0C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0" authorId="0" shapeId="0" xr:uid="{3C32DABE-CBF6-493B-9566-997C477D44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0" authorId="0" shapeId="0" xr:uid="{804C5DCD-96E7-492B-A2E0-21F4F6E844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1" authorId="0" shapeId="0" xr:uid="{D745806C-C87B-4C54-BC12-4703CC0F1B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1" authorId="0" shapeId="0" xr:uid="{BE72D008-0FAC-4CB3-864F-39E0A5A432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1" authorId="0" shapeId="0" xr:uid="{5FFEB6A6-BC7D-44A5-8F60-C27A725125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1" authorId="0" shapeId="0" xr:uid="{A7BB1D22-D668-4BE0-B1E7-FBC1AAFBC8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1" authorId="0" shapeId="0" xr:uid="{65883F08-0E2D-42BF-993D-D67D16E7EB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1" authorId="0" shapeId="0" xr:uid="{CC5011E2-FE8C-4B53-B3AF-EC1E74CE9D8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1" authorId="0" shapeId="0" xr:uid="{03A421C6-260B-45A7-BA3F-8C7485E3BE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1" authorId="0" shapeId="0" xr:uid="{95B06E11-6019-47C1-9437-AC708D575BD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1" authorId="0" shapeId="0" xr:uid="{C182C250-E915-47CC-896A-B595BDC86D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1" authorId="0" shapeId="0" xr:uid="{DA952E76-DADF-49F4-8CBA-C36DFA83C8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2" authorId="0" shapeId="0" xr:uid="{9D808CE3-A588-434E-86B6-9AE5053F9D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2" authorId="0" shapeId="0" xr:uid="{15E253D3-E5E1-41B3-8015-6B05800455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2" authorId="0" shapeId="0" xr:uid="{5DAB2B25-B6FC-4B4A-879A-3E046F5DC1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2" authorId="0" shapeId="0" xr:uid="{A49911E1-7B7B-4A7E-B855-A8EE29FE69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2" authorId="0" shapeId="0" xr:uid="{7FEFBBDE-36E8-4DB1-B650-451D6F25B6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2" authorId="0" shapeId="0" xr:uid="{21B349C4-DFAF-4672-AB7D-3ECF5459E9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2" authorId="0" shapeId="0" xr:uid="{4D7A6848-D517-4024-A1C2-05AABA3F5C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2" authorId="0" shapeId="0" xr:uid="{40A92616-EFE3-4B81-8518-937EEF8357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2" authorId="0" shapeId="0" xr:uid="{F9EBA0EA-2E31-48EC-B949-69D16A031C8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2" authorId="0" shapeId="0" xr:uid="{89E67F77-FBB7-4437-BEBC-919A9932B08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3" authorId="0" shapeId="0" xr:uid="{6996E3CD-DEE0-425E-8652-6C0C98D4DEA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3" authorId="0" shapeId="0" xr:uid="{68312BE5-6D41-4EBF-A2B6-26D4ADE3FF5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3" authorId="0" shapeId="0" xr:uid="{48BA6FAC-45BC-4FD2-AB77-E17E4D8A81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3" authorId="0" shapeId="0" xr:uid="{ED0BCFAA-94BF-4FE0-B773-E303A5ED7B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3" authorId="0" shapeId="0" xr:uid="{2850CFA0-122C-4934-8537-21D2411EF3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3" authorId="0" shapeId="0" xr:uid="{8F4A624B-30A8-491D-96C3-7880876B5B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3" authorId="0" shapeId="0" xr:uid="{2279F7CD-7FF7-4FB7-A539-FDE067F5EA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3" authorId="0" shapeId="0" xr:uid="{66979C75-54E2-41F9-8309-61E05AA5B22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3" authorId="0" shapeId="0" xr:uid="{0E35B2FD-C2C5-4BB4-A36A-B964EE8FB7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3" authorId="0" shapeId="0" xr:uid="{B02EB464-6E02-4AF5-AFCA-7FF1FF0C2F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4" authorId="0" shapeId="0" xr:uid="{59C89645-D3F9-4C88-A190-8C5F4DBA44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4" authorId="0" shapeId="0" xr:uid="{C8A4DB3D-D1B5-4918-A4E7-58EC7C42BF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4" authorId="0" shapeId="0" xr:uid="{D360BBB1-8451-4D26-B584-138B9BF961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4" authorId="0" shapeId="0" xr:uid="{0D6C85FE-5B55-4F97-9021-328CB39272D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4" authorId="0" shapeId="0" xr:uid="{EB61EC79-8B69-467E-B98E-D9297DFA91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4" authorId="0" shapeId="0" xr:uid="{881F7409-006B-4F17-8389-00483ED7F0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4" authorId="0" shapeId="0" xr:uid="{07D2FA8C-55A2-46FB-A301-2BE37D1F76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4" authorId="0" shapeId="0" xr:uid="{16471C9B-94A1-4C9D-AD4C-CAB9F948DA9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4" authorId="0" shapeId="0" xr:uid="{EF896A03-88EA-4536-B796-A50E8943486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4" authorId="0" shapeId="0" xr:uid="{A6B9C008-DD9F-43C6-8630-A5CB84E645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5" authorId="0" shapeId="0" xr:uid="{465ECCB7-6B83-4415-88AB-D416941233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5" authorId="0" shapeId="0" xr:uid="{E48C0FEE-E857-4912-AB11-5DDF003F4D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5" authorId="0" shapeId="0" xr:uid="{20657A8B-567D-40F0-B9AB-DB2EAEEC89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5" authorId="0" shapeId="0" xr:uid="{99C69DB7-FFDC-4F24-840C-03D31D1037DE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85" authorId="0" shapeId="0" xr:uid="{238A1FF6-52D8-4858-9244-77C029237D1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5" authorId="0" shapeId="0" xr:uid="{47B14AD6-1255-49A6-90E6-0E159DCBEB1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5" authorId="0" shapeId="0" xr:uid="{247A92C2-796C-4A3E-984B-B2611A6F37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5" authorId="0" shapeId="0" xr:uid="{72F6DEC0-AB69-48BA-AF17-4BA35CCC93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5" authorId="0" shapeId="0" xr:uid="{DAEE856F-C6DF-4A9F-9DCF-31D01A3483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5" authorId="0" shapeId="0" xr:uid="{30C294DA-7C37-4C3E-AB2F-F7494FFF0F4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6" authorId="0" shapeId="0" xr:uid="{6DD04729-C211-40A9-998C-6B48623F42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6" authorId="0" shapeId="0" xr:uid="{38273E0E-2019-4CC8-B179-43A2D69DB9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6" authorId="0" shapeId="0" xr:uid="{C4C75A75-FB08-4523-A148-820F0E7CE6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6" authorId="0" shapeId="0" xr:uid="{82796EF4-3C69-4863-8DC3-F32C78A9857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6" authorId="0" shapeId="0" xr:uid="{EC80DA05-DD02-4B6B-9A77-B6E79548AFE7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86" authorId="0" shapeId="0" xr:uid="{6CCF2DAA-4DC3-4E3C-975B-9BBE03EBF0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6" authorId="0" shapeId="0" xr:uid="{E5F99C33-EDB1-49A2-9837-5CA87DD129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6" authorId="0" shapeId="0" xr:uid="{5C3E9D65-83D8-450A-881B-099BA8704BA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6" authorId="0" shapeId="0" xr:uid="{D50B6DE9-72A3-4C24-98A9-7154B932E2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6" authorId="0" shapeId="0" xr:uid="{D282A5DD-C41C-4B67-B5B7-D14C022A92F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7" authorId="0" shapeId="0" xr:uid="{34912059-5304-4EE2-B94F-D1583EDCE4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7" authorId="0" shapeId="0" xr:uid="{3519BCA6-F46B-4B8F-868B-08868E358D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7" authorId="0" shapeId="0" xr:uid="{882724EA-74E1-4C2B-9F15-AF0964ACFA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7" authorId="0" shapeId="0" xr:uid="{66B177B8-47C9-4A0D-A414-116CFBB6D862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87" authorId="0" shapeId="0" xr:uid="{32CEED31-6051-43ED-9926-F5AAE87B1566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G87" authorId="0" shapeId="0" xr:uid="{D0FF6FD0-EDA1-49F4-83AE-1D35DA7A551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7" authorId="0" shapeId="0" xr:uid="{3C7294C9-94EB-49CC-8DE3-2E538F5DFC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7" authorId="0" shapeId="0" xr:uid="{696F7006-D30B-49C0-B5D4-56DA8F193D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7" authorId="0" shapeId="0" xr:uid="{B722438D-F3A5-4885-B1F0-6FCB129108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7" authorId="0" shapeId="0" xr:uid="{16E3AE50-3154-4743-9825-BCAF197A2E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8" authorId="0" shapeId="0" xr:uid="{2DA0E1D0-8190-43F4-BD19-00703678E3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8" authorId="0" shapeId="0" xr:uid="{6B0ABE3E-7129-4B8A-B308-FCE5132D39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8" authorId="0" shapeId="0" xr:uid="{61C0A803-01A3-4667-A6CA-6A13545D43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8" authorId="0" shapeId="0" xr:uid="{8F14CD86-4598-4D23-AB64-A209E73297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8" authorId="0" shapeId="0" xr:uid="{4332288C-FBDA-41B5-9B01-FACAB1D5017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8" authorId="0" shapeId="0" xr:uid="{D07E79D2-4B6A-4FA7-B303-BD4E9AA20879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H88" authorId="0" shapeId="0" xr:uid="{DA5A1FEC-A313-40CA-92A8-C4D3B680ECE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8" authorId="0" shapeId="0" xr:uid="{6E20A001-800E-4A6F-8C00-51F2AF17A54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8" authorId="0" shapeId="0" xr:uid="{4AAEF04B-9433-46D6-AFA2-2F5CB8A89C1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8" authorId="0" shapeId="0" xr:uid="{EA2CEC09-26E8-479B-9393-FEA04AD61E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9" authorId="0" shapeId="0" xr:uid="{1559CE17-FCD2-4CFD-8846-A5D80BD1AF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9" authorId="0" shapeId="0" xr:uid="{3BE1A9D8-957A-4A61-B192-019CEB417F5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9" authorId="0" shapeId="0" xr:uid="{02B3272B-0CDC-4387-BEDD-E6587F950F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9" authorId="0" shapeId="0" xr:uid="{1391A7ED-E989-4240-8EE0-D3C89BFB0B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9" authorId="0" shapeId="0" xr:uid="{94CB994F-FA59-43F3-9532-7E80A88D3BB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9" authorId="0" shapeId="0" xr:uid="{850E6E06-4CC3-4CA1-AF39-3355165288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89" authorId="0" shapeId="0" xr:uid="{2B98DDBB-B7E4-4A48-A82A-9C8C206285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89" authorId="0" shapeId="0" xr:uid="{FD0BB1A5-F392-435F-A166-7EC235316C8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89" authorId="0" shapeId="0" xr:uid="{FF44455F-352A-405A-BD0F-67F708E25C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89" authorId="0" shapeId="0" xr:uid="{4066D9FC-E616-4EB6-A49B-7634BF8660C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0" authorId="0" shapeId="0" xr:uid="{A066793E-0054-4D5B-9B15-6B1620780B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90" authorId="0" shapeId="0" xr:uid="{BE93E0E9-F0D1-4470-B737-0FC0582980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90" authorId="0" shapeId="0" xr:uid="{1F3E4BEC-2286-402C-B316-EA1A14741F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0" authorId="0" shapeId="0" xr:uid="{CB1C6EFE-E211-4F7A-96C9-72D4E04D6E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0" authorId="0" shapeId="0" xr:uid="{98830034-3107-404F-8B14-4F2D1C240B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0" authorId="0" shapeId="0" xr:uid="{C9690D7F-FDEE-4B0A-9D45-924E4F134BB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0" authorId="0" shapeId="0" xr:uid="{F7281CDB-3C9A-43E0-9762-4FBFEAEC77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0" authorId="0" shapeId="0" xr:uid="{BD2C7265-EF9D-4967-887C-6977A48C75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0" authorId="0" shapeId="0" xr:uid="{3496C2CB-29BB-48DC-9DAB-4160C983C4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0" authorId="0" shapeId="0" xr:uid="{214E8B9D-1360-452F-A48B-B538946CB2E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1" authorId="0" shapeId="0" xr:uid="{8879F031-8731-4005-9651-C590BFFAF7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91" authorId="0" shapeId="0" xr:uid="{1BD3FFAF-8B72-4260-9485-EEB38C88DD9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91" authorId="0" shapeId="0" xr:uid="{D0AD7AB1-C9A3-4EBB-876C-B01914930EBB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E91" authorId="0" shapeId="0" xr:uid="{B04D65E7-2270-4415-B30C-249A5B9BD1F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1" authorId="0" shapeId="0" xr:uid="{673945A1-065E-40BA-8663-348A81965E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1" authorId="0" shapeId="0" xr:uid="{C0683281-CE74-4E3C-904C-87EA740794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1" authorId="0" shapeId="0" xr:uid="{F5B40CC6-4607-4FAB-8E10-27F993B4F3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1" authorId="0" shapeId="0" xr:uid="{C94C8F62-2AAC-4C0A-AA87-18BA0479AA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1" authorId="0" shapeId="0" xr:uid="{6A2B1B81-2B61-413C-932A-2C590444BE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1" authorId="0" shapeId="0" xr:uid="{6A9D5056-57AA-4C45-8C30-AC32F593C55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2" authorId="0" shapeId="0" xr:uid="{5CE6A727-2A85-4E74-BBD9-8801A5E5A9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92" authorId="0" shapeId="0" xr:uid="{53AA5523-C8FA-4E18-8AC8-8450576765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92" authorId="0" shapeId="0" xr:uid="{A00B3ACB-B1E4-471C-9F8B-E51733E43D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2" authorId="0" shapeId="0" xr:uid="{312EFD33-8D48-4C85-9BD6-4B9A410D67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2" authorId="0" shapeId="0" xr:uid="{505AA6E5-188E-41F0-9200-D43407747B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2" authorId="0" shapeId="0" xr:uid="{40982530-CCB2-4DA4-9437-6864ACDB89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2" authorId="0" shapeId="0" xr:uid="{17C45589-0F74-439F-BC7F-1593EB17224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2" authorId="0" shapeId="0" xr:uid="{8C1D46A1-3DC3-436C-A2BA-AB2D60405F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2" authorId="0" shapeId="0" xr:uid="{A09D4BF1-654C-41ED-99A9-CF76A6FFA7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2" authorId="0" shapeId="0" xr:uid="{25C0201B-046F-49AC-877A-7F50E8C653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3" authorId="0" shapeId="0" xr:uid="{048380FF-A6EE-4802-9FB2-0B51920671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93" authorId="0" shapeId="0" xr:uid="{5A6A8827-712B-4049-8781-90DA75D2B3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93" authorId="0" shapeId="0" xr:uid="{1B59EBF0-E4E6-4AB3-8883-44DEC3A705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3" authorId="0" shapeId="0" xr:uid="{BA311478-13AB-498D-BFC4-B36DFF905E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3" authorId="0" shapeId="0" xr:uid="{CCC0456D-E2D0-4205-B3C0-8E4F4719558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3" authorId="0" shapeId="0" xr:uid="{BDBF375E-4549-4A0A-B279-CAE9FC4E949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3" authorId="0" shapeId="0" xr:uid="{5B27DDB3-1010-4480-9BFC-4ABEA7FA4D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3" authorId="0" shapeId="0" xr:uid="{F0F1ACD4-A596-4BDA-B06A-0AF8CFC2DA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3" authorId="0" shapeId="0" xr:uid="{1124FCF5-A66F-4741-8260-158AACCB3F2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3" authorId="0" shapeId="0" xr:uid="{4268B943-4B3A-427B-B3DA-832B31A6B3A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4" authorId="0" shapeId="0" xr:uid="{6C20B89A-3C94-4952-B177-E2F8AB2CFEE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94" authorId="0" shapeId="0" xr:uid="{CA1D14A0-63FF-48FE-B03C-E2841D9829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94" authorId="0" shapeId="0" xr:uid="{FD4E99CD-55A4-48F4-AE81-539964381D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4" authorId="0" shapeId="0" xr:uid="{51BD0C7F-BD66-4975-95AD-1CD03757D5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4" authorId="0" shapeId="0" xr:uid="{5F5C60D7-9680-4FC5-94E8-716D6116C5E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4" authorId="0" shapeId="0" xr:uid="{13A97250-D124-49F3-A830-552EA7D3164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4" authorId="0" shapeId="0" xr:uid="{621BB25B-17D1-4439-9F36-16E2CCFF0E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4" authorId="0" shapeId="0" xr:uid="{52A8BB35-448B-42DA-ADEA-6B63A418B9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4" authorId="0" shapeId="0" xr:uid="{936A3315-5901-453B-A029-C8F01C6A1C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4" authorId="0" shapeId="0" xr:uid="{055E7DA2-EDC5-4439-8BAE-FBED1FBB362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7" authorId="0" shapeId="0" xr:uid="{21DC499C-FC2A-4F70-AE8E-FD2B97BF46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97" authorId="0" shapeId="0" xr:uid="{7C94EEE2-403C-4369-848E-71534F519D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97" authorId="0" shapeId="0" xr:uid="{8DD2A326-A474-4D25-B8CB-2403A1E8BD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7" authorId="0" shapeId="0" xr:uid="{1CF16A02-7B85-4EE1-A03E-AA52A9E91E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7" authorId="0" shapeId="0" xr:uid="{7CA373CB-D532-44BE-ACF8-E50D78A7D5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7" authorId="0" shapeId="0" xr:uid="{9A08B82A-F81C-42A2-83E4-438D7BF64A2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7" authorId="0" shapeId="0" xr:uid="{B6D6F1E1-160B-4B25-829C-DBB2764515A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7" authorId="0" shapeId="0" xr:uid="{4236EA4F-3E5B-46E1-A81C-A80A5D8FF6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7" authorId="0" shapeId="0" xr:uid="{826068F5-5466-4888-82B2-3F169C3481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7" authorId="0" shapeId="0" xr:uid="{A2B1F047-700A-40A2-892E-EB1D61EB906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8" authorId="0" shapeId="0" xr:uid="{AC4A846E-7C61-42DD-9329-1615520970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98" authorId="0" shapeId="0" xr:uid="{9FD7460F-CC91-4D53-9F0D-4B9834DC57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98" authorId="0" shapeId="0" xr:uid="{1531A34A-81B1-4BF8-ADCA-1443638C33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8" authorId="0" shapeId="0" xr:uid="{7E878EAE-8FC1-4965-B2B3-2B419E8B68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8" authorId="0" shapeId="0" xr:uid="{956F798A-5062-49BF-AC58-71B49004C9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8" authorId="0" shapeId="0" xr:uid="{6E8F327E-9A77-416A-975D-3D6CAB18CD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8" authorId="0" shapeId="0" xr:uid="{6C5C0FB0-996A-4C45-837F-BB5DC04D5EF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8" authorId="0" shapeId="0" xr:uid="{FE5D0A0E-A493-4D3C-8F8B-ABA81310E0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8" authorId="0" shapeId="0" xr:uid="{09F4F086-59BA-461E-A65D-AD909D2F41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8" authorId="0" shapeId="0" xr:uid="{0492EA54-0790-4F9A-BC90-BD1CC2F33DF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9" authorId="0" shapeId="0" xr:uid="{A82923D6-FDF1-49C8-AC58-ECB0A14843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99" authorId="0" shapeId="0" xr:uid="{1461BB91-C7C9-41A3-B540-5C447FFACFE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99" authorId="0" shapeId="0" xr:uid="{989B2DAB-E729-4B4E-9387-5EBE1E94410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9" authorId="0" shapeId="0" xr:uid="{6DCEB6EB-B85C-4B5E-952A-5B098C216DA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9" authorId="0" shapeId="0" xr:uid="{552936C7-287B-476F-B268-A15292FEF3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9" authorId="0" shapeId="0" xr:uid="{48032E36-F76E-4A01-895F-9C2122BC80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99" authorId="0" shapeId="0" xr:uid="{F71E7DF4-BDEE-4DE2-877C-79A2688685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99" authorId="0" shapeId="0" xr:uid="{78310CE3-9839-4679-9666-C8B19D00D39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99" authorId="0" shapeId="0" xr:uid="{D31D97C8-9C1E-4E8B-B45C-D3A01ACA64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99" authorId="0" shapeId="0" xr:uid="{E9540B9B-4F17-4092-A146-50A3FB0E19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0" authorId="0" shapeId="0" xr:uid="{EDFE5888-369F-44C2-A9C2-2B0B4F0E5EC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0" authorId="0" shapeId="0" xr:uid="{12A89F23-CD9F-418B-B618-394642D3679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00" authorId="0" shapeId="0" xr:uid="{05E3B7E4-71B7-4D82-B041-D3CFFC6E642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0" authorId="0" shapeId="0" xr:uid="{3D94F664-E0B6-41E6-AF10-BB74DBEF16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0" authorId="0" shapeId="0" xr:uid="{AC769CEB-9F14-4DA2-AB01-6057ECDD184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0" authorId="0" shapeId="0" xr:uid="{A38839E1-5D92-4E4B-8FE8-1C9EF66CF7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0" authorId="0" shapeId="0" xr:uid="{4B7B1653-DCE4-4B66-80D7-336E68E818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0" authorId="0" shapeId="0" xr:uid="{19577208-CD8E-4E0A-B13D-DE7D17F5CE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0" authorId="0" shapeId="0" xr:uid="{64EB8508-2556-4148-8582-FF88E57A80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0" authorId="0" shapeId="0" xr:uid="{CAD2C1DE-73B3-4711-B106-7B556D2AF3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1" authorId="0" shapeId="0" xr:uid="{D910D7E3-ECE5-4F87-B146-EBA8144C63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1" authorId="0" shapeId="0" xr:uid="{24B10593-37B2-423D-A2E8-AC2CDE95286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01" authorId="0" shapeId="0" xr:uid="{9CA2397D-A7C9-4FF0-A43B-D6B842BE292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1" authorId="0" shapeId="0" xr:uid="{994F0C32-318D-42BE-A163-DAABA9B1FFE0}">
      <text>
        <r>
          <rPr>
            <sz val="9"/>
            <color rgb="FF000000"/>
            <rFont val="Tahoma"/>
            <family val="2"/>
          </rPr>
          <t>Solver found a solution. All constraints and optimality conditions are satisfied.</t>
        </r>
      </text>
    </comment>
    <comment ref="F101" authorId="0" shapeId="0" xr:uid="{C705EC0B-9B3B-41E4-BE4D-C6FF4F86BF7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1" authorId="0" shapeId="0" xr:uid="{C7934D52-72AD-4DDC-A494-93880F08D4A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1" authorId="0" shapeId="0" xr:uid="{BCE6C5E1-9115-45BD-8A87-5C618C44BD0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1" authorId="0" shapeId="0" xr:uid="{C44BD1EC-D2BC-46DB-9E01-D14D3AFFF0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1" authorId="0" shapeId="0" xr:uid="{FC0E1B04-83B7-43D2-A54A-9A16FC8C8A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1" authorId="0" shapeId="0" xr:uid="{2ED4F964-EBCD-48CC-8AE0-FC088DA9CAE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2" authorId="0" shapeId="0" xr:uid="{A49B3F6D-F63A-49E3-8DF6-FA66F24119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2" authorId="0" shapeId="0" xr:uid="{3112B9BD-7940-4C74-82E1-25EECB858A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02" authorId="0" shapeId="0" xr:uid="{EB4807F1-B316-464E-9912-818006292E0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2" authorId="0" shapeId="0" xr:uid="{915B15EB-B258-412E-BFD2-271E9DA4F34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2" authorId="0" shapeId="0" xr:uid="{665C7915-B785-4939-8E86-50D41941DB5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2" authorId="0" shapeId="0" xr:uid="{8CF40EE4-4C58-4F73-908D-49D8CB353F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2" authorId="0" shapeId="0" xr:uid="{956AE5A0-E11D-4A26-A8AC-142A43B122C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2" authorId="0" shapeId="0" xr:uid="{72E20700-8DEA-4FC1-8056-5123DBFBB1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2" authorId="0" shapeId="0" xr:uid="{F28DB9B0-788B-4FB1-87EC-2AF6BAC8BFA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2" authorId="0" shapeId="0" xr:uid="{F78C4A74-56DE-4308-B567-B572DA05441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3" authorId="0" shapeId="0" xr:uid="{B691140F-1BDF-4D56-9440-DB47D491926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3" authorId="0" shapeId="0" xr:uid="{3CFEFC57-857F-4E0A-9E21-30C1674FF01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03" authorId="0" shapeId="0" xr:uid="{34165F85-0576-4F14-885B-C92D37FAE3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3" authorId="0" shapeId="0" xr:uid="{EB17CCE3-433E-4C9C-B966-7F3847CA0B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3" authorId="0" shapeId="0" xr:uid="{3BED12F8-D8B1-41D7-B07B-8C9D550E0B6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3" authorId="0" shapeId="0" xr:uid="{B7715412-9D8B-4AAB-B600-004271CA15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3" authorId="0" shapeId="0" xr:uid="{49AADB58-8DE8-4DD6-B080-0B8401FC23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3" authorId="0" shapeId="0" xr:uid="{4698C9F1-44B8-4F5D-B751-3475D4A68A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3" authorId="0" shapeId="0" xr:uid="{FCE0B186-69A7-4DEE-9949-FE0E0F131F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3" authorId="0" shapeId="0" xr:uid="{AC0CEA7C-9C22-4BAE-8494-90AE141B83D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4" authorId="0" shapeId="0" xr:uid="{E5B4E903-85F3-4D94-BC29-A6D856FFD76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4" authorId="0" shapeId="0" xr:uid="{D0266703-7113-4E1F-A003-4768F2899D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04" authorId="0" shapeId="0" xr:uid="{5A8E2080-E318-4F30-B333-C7A24800E7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4" authorId="0" shapeId="0" xr:uid="{53CCF4CC-1D01-4A22-B040-F19CF448518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4" authorId="0" shapeId="0" xr:uid="{44C01696-441B-476C-9E90-EA471E70AAD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4" authorId="0" shapeId="0" xr:uid="{DC49B0F5-4D92-4DCF-90E4-C01A5BFD0C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4" authorId="0" shapeId="0" xr:uid="{963350DB-09EB-4947-88A8-54E3D404C3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4" authorId="0" shapeId="0" xr:uid="{053E1BAD-609B-419F-8575-46EADD017D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4" authorId="0" shapeId="0" xr:uid="{65950D0B-5600-4463-A904-92DBC79C50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4" authorId="0" shapeId="0" xr:uid="{B2EDD1AC-437B-4C12-A551-43A716EFD4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5" authorId="0" shapeId="0" xr:uid="{9F3605FD-AB15-4FFF-90F9-F64F538CE3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5" authorId="0" shapeId="0" xr:uid="{71A5C440-0BC9-469D-9A86-E0532A06776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05" authorId="0" shapeId="0" xr:uid="{B2C5B3C2-C331-448E-97F4-F2580566B5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5" authorId="0" shapeId="0" xr:uid="{2E6A7FB6-8ABD-4F49-97DC-F2154EFB6C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5" authorId="0" shapeId="0" xr:uid="{2EB9371C-479D-4C4C-8EDB-F8BE578F88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5" authorId="0" shapeId="0" xr:uid="{327B1088-8130-4C38-8171-297AAD138AF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5" authorId="0" shapeId="0" xr:uid="{B43760A3-F523-4DA1-ADA4-6C35D15E71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5" authorId="0" shapeId="0" xr:uid="{08D30648-0E0C-47EF-B09E-0ED99DD463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5" authorId="0" shapeId="0" xr:uid="{E0A639F9-5678-44D3-9ACA-3B6FD3992D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5" authorId="0" shapeId="0" xr:uid="{9E900B30-6B7D-427C-B5A9-6DEF187D929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6" authorId="0" shapeId="0" xr:uid="{EDFFB9F6-D7EF-41C0-9131-BD86726D9E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6" authorId="0" shapeId="0" xr:uid="{2E515661-1281-4B76-A9A7-1659DC18DA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06" authorId="0" shapeId="0" xr:uid="{7D82B8CD-FAF4-4B3F-B268-B86176D936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6" authorId="0" shapeId="0" xr:uid="{FA116AC9-0A07-410D-A75E-01BDB9D9189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6" authorId="0" shapeId="0" xr:uid="{0A7BA99A-B499-4C04-AC02-379F493E41E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6" authorId="0" shapeId="0" xr:uid="{3E8A66EA-5396-4FC1-970E-AD3ACD4971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6" authorId="0" shapeId="0" xr:uid="{D1F68894-D0DF-4315-A7C4-51531079AAB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6" authorId="0" shapeId="0" xr:uid="{3DA07433-B2B6-459A-8684-F466D42758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6" authorId="0" shapeId="0" xr:uid="{38BEC7EA-6F03-4E99-9C64-649A207A86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6" authorId="0" shapeId="0" xr:uid="{DC017B5F-F6FB-469B-8A61-8C7B9BBACF2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7" authorId="0" shapeId="0" xr:uid="{538D1F60-FC40-4E22-9B51-0DF2944BFD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7" authorId="0" shapeId="0" xr:uid="{BB3E762D-67BC-4F5D-A50C-4D32DCD6D9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07" authorId="0" shapeId="0" xr:uid="{C7DE5592-9864-48D1-AC84-61CADF7DFC6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7" authorId="0" shapeId="0" xr:uid="{EB201C31-A872-4AEC-83A2-C9C555E48C6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7" authorId="0" shapeId="0" xr:uid="{4F5B2366-23E2-4DC7-8504-03E834AE64B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7" authorId="0" shapeId="0" xr:uid="{01EF9E5A-4AB6-42F6-B1B2-423FB5E3ED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7" authorId="0" shapeId="0" xr:uid="{D574EBF9-400D-4E1E-AD76-E956C3D638A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7" authorId="0" shapeId="0" xr:uid="{A2E08CA4-6D7B-48F9-8B11-954E22234B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7" authorId="0" shapeId="0" xr:uid="{A1B05D0B-7551-4150-AA86-05A6D0908D9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7" authorId="0" shapeId="0" xr:uid="{29B0A9E0-EC61-4272-BB3D-BBC3903BE62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8" authorId="0" shapeId="0" xr:uid="{C855F4EB-156E-4248-BCEE-A2D5B501AA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8" authorId="0" shapeId="0" xr:uid="{B9BCC2AA-B7CB-4D4F-AA4F-C823DFCB6C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08" authorId="0" shapeId="0" xr:uid="{15640EA7-B222-4E2F-9EEF-DBD7764A25E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8" authorId="0" shapeId="0" xr:uid="{DF5A0656-C507-4857-B39C-C59499A39D8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8" authorId="0" shapeId="0" xr:uid="{BEAA1272-FB08-4DFE-992B-1985740C927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8" authorId="0" shapeId="0" xr:uid="{D958720B-3F4F-4F9D-BD74-94A6BDAAE73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8" authorId="0" shapeId="0" xr:uid="{BD8F6456-5043-4146-B8EE-5F0328349A2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8" authorId="0" shapeId="0" xr:uid="{9BFE8D38-0161-4F6A-B99A-F06754727F4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8" authorId="0" shapeId="0" xr:uid="{9C78035D-0364-4356-8385-44E8D3E800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8" authorId="0" shapeId="0" xr:uid="{D7399911-C74B-43FF-BAA7-B98AB01D8D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9" authorId="0" shapeId="0" xr:uid="{89E248FF-0EC3-4438-AB8C-4CF2F30576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9" authorId="0" shapeId="0" xr:uid="{511388C8-E1DA-49E4-A622-457F72C899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09" authorId="0" shapeId="0" xr:uid="{74FA5F7D-E7EE-40AA-9A38-415DDCB6856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9" authorId="0" shapeId="0" xr:uid="{18D05BE0-130A-4816-8774-01F453B412D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9" authorId="0" shapeId="0" xr:uid="{44CCC452-24FB-4FC1-B809-88C18242996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9" authorId="0" shapeId="0" xr:uid="{606E897D-6DD8-4163-948A-572FCD78E5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09" authorId="0" shapeId="0" xr:uid="{BF01041E-79D1-41C6-9AF8-5A15AD4E4A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09" authorId="0" shapeId="0" xr:uid="{66F1A9C9-B3B5-4B01-9BAD-D0065FC01DC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09" authorId="0" shapeId="0" xr:uid="{4E7879CB-F181-494E-846A-EF99420A98D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09" authorId="0" shapeId="0" xr:uid="{0FD85BDA-ADD3-4DFB-B6F8-61A7EE88C0B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0" authorId="0" shapeId="0" xr:uid="{A764A6E1-F34B-44C8-926D-447A8627FB5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10" authorId="0" shapeId="0" xr:uid="{7A35E97A-E887-4DB1-9CE6-77EB3D63DF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10" authorId="0" shapeId="0" xr:uid="{9719EB68-3754-446B-BC36-5E19D95BD4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10" authorId="0" shapeId="0" xr:uid="{D88C39D3-41A2-45E0-BD63-D17C7F9D201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10" authorId="0" shapeId="0" xr:uid="{89FA8A2D-B6D6-4C8C-817A-C2EC3207DE9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0" authorId="0" shapeId="0" xr:uid="{603B219B-7A26-47E9-A1C3-44D5B230B3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0" authorId="0" shapeId="0" xr:uid="{08D92B3A-9262-4A6B-BC30-21EF681B06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0" authorId="0" shapeId="0" xr:uid="{D8D01C60-E97C-4D2F-A3D2-7E0222209C6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0" authorId="0" shapeId="0" xr:uid="{F9048515-22E0-49BD-A120-C38290D408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0" authorId="0" shapeId="0" xr:uid="{B10351DB-A315-4D1B-B9D9-9DF5C6EA8E0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1" authorId="0" shapeId="0" xr:uid="{F88D9CC5-1985-4896-A642-60B16EBE30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11" authorId="0" shapeId="0" xr:uid="{0635CA34-9CF3-4627-B161-80A28D1506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11" authorId="0" shapeId="0" xr:uid="{BAC35616-6856-4F0D-B2D1-8C7B1C29BB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11" authorId="0" shapeId="0" xr:uid="{7D033763-C167-40F6-ABE8-C63F55BE25F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11" authorId="0" shapeId="0" xr:uid="{349F1DC2-A745-48DC-A631-0DB75C7F1C9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1" authorId="0" shapeId="0" xr:uid="{CAF6995E-DFF8-4E95-ACE7-1215E7E08C7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1" authorId="0" shapeId="0" xr:uid="{6FCEB101-539E-423C-912A-04CFA0D81AA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1" authorId="0" shapeId="0" xr:uid="{333EF5C1-97D2-49BA-ACFC-D0C6D726C05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1" authorId="0" shapeId="0" xr:uid="{02BF0338-2C39-4C46-9131-115E4B71A0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1" authorId="0" shapeId="0" xr:uid="{5ADBD0F9-D63D-4FB9-85EA-7B2A3F68EBB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2" authorId="0" shapeId="0" xr:uid="{10626AF8-55E1-451A-BC31-70EFB0C3504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12" authorId="0" shapeId="0" xr:uid="{E0DD2076-2D56-4AFF-AE93-7F4C85AF9A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12" authorId="0" shapeId="0" xr:uid="{21CB8BD7-19C1-433F-93A7-47C35C909E4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12" authorId="0" shapeId="0" xr:uid="{60BFD5F7-9910-4402-A056-4981331329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12" authorId="0" shapeId="0" xr:uid="{00FB6E89-1F52-4050-84B6-A3F796108B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2" authorId="0" shapeId="0" xr:uid="{F34C6858-E183-47D2-89ED-54A57A29192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2" authorId="0" shapeId="0" xr:uid="{E5715B0F-3A2A-47A8-AE65-09547B5D69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2" authorId="0" shapeId="0" xr:uid="{46112F8C-2044-45C6-9406-1C7BA0AFCAA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2" authorId="0" shapeId="0" xr:uid="{B6534207-8242-4387-9536-EA6B01EA998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2" authorId="0" shapeId="0" xr:uid="{EE69C150-A1EC-4B06-9D5E-B178863024F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3" authorId="0" shapeId="0" xr:uid="{29479C56-C610-4BE1-9BDB-A44D61A70BF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13" authorId="0" shapeId="0" xr:uid="{0D8B45C7-A243-4260-9B7A-D074E0E55E3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13" authorId="0" shapeId="0" xr:uid="{DD92FE01-0F29-45F4-A6D8-41F09B7B1E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13" authorId="0" shapeId="0" xr:uid="{54EABB98-046B-41AB-B73C-A3BEA0F3B01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13" authorId="0" shapeId="0" xr:uid="{F2483A0F-6C17-4EC4-8440-FCC1332EC8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3" authorId="0" shapeId="0" xr:uid="{24F2FD17-18A3-4EF3-83A8-180B0DA5F31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3" authorId="0" shapeId="0" xr:uid="{F9D25375-D5E8-4DB9-9C9A-95B0694354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3" authorId="0" shapeId="0" xr:uid="{F7D5FAEB-733E-4866-A34B-BBD13BA1D7C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3" authorId="0" shapeId="0" xr:uid="{90417C0F-93AC-48DF-910E-92BC7A50B2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3" authorId="0" shapeId="0" xr:uid="{D2595A3C-EBA6-4BC1-8F1E-B7EE34FAF51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4" authorId="0" shapeId="0" xr:uid="{19EC9978-FE02-4CE7-808B-823A518A646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14" authorId="0" shapeId="0" xr:uid="{7B3B4C9A-A2B5-4DA5-93E8-E55EDFAA440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14" authorId="0" shapeId="0" xr:uid="{2FC310D2-64EB-4BAF-9CDB-68ECBF227E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14" authorId="0" shapeId="0" xr:uid="{479FD5F8-C011-42F5-99FA-3419CF410B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14" authorId="0" shapeId="0" xr:uid="{6F6AD8B9-7090-47E4-98B1-F9A55B05E8F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4" authorId="0" shapeId="0" xr:uid="{3648A298-7A8F-461F-9625-9521E92A2B3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4" authorId="0" shapeId="0" xr:uid="{5545D30F-65CC-4BDC-A6FE-134413A41E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4" authorId="0" shapeId="0" xr:uid="{4C6CBFE9-6B47-4D8B-AF0E-F60A7D95242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4" authorId="0" shapeId="0" xr:uid="{483B3F4A-4219-44D8-AE01-D87F788824B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4" authorId="0" shapeId="0" xr:uid="{4CB39250-6FFE-46B6-9E62-46F5B0EC71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5" authorId="0" shapeId="0" xr:uid="{562E8A2E-5C04-49BF-AEFD-8F6CB1B8845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15" authorId="0" shapeId="0" xr:uid="{42A893A8-1AD7-4A32-814C-6746B73EAB5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15" authorId="0" shapeId="0" xr:uid="{B65C3726-04C8-4F6F-9040-486E82C6C2C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15" authorId="0" shapeId="0" xr:uid="{0D8FE4EE-26A2-4887-A7A7-EEC8A3F7D9C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15" authorId="0" shapeId="0" xr:uid="{5FBB0033-5108-47E4-906C-03FD61FDA4E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5" authorId="0" shapeId="0" xr:uid="{2CE12C9D-2BF2-4D9C-9D7F-0FBB52CDB9B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5" authorId="0" shapeId="0" xr:uid="{55FC0EFA-57E2-490B-98A0-9F1903CE55D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5" authorId="0" shapeId="0" xr:uid="{0EBC7071-97EF-44B0-AA9B-61FC71642B2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5" authorId="0" shapeId="0" xr:uid="{B17691C6-CE2F-42DA-93D0-DABE27D9352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5" authorId="0" shapeId="0" xr:uid="{F913E9CC-3905-40E6-8987-BFE335C67C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6" authorId="0" shapeId="0" xr:uid="{285C0DEC-7718-4591-9295-77BECDDA008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16" authorId="0" shapeId="0" xr:uid="{DF1154C0-261A-438D-B101-A8BE90F5109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16" authorId="0" shapeId="0" xr:uid="{65DEECA8-1B66-4F2B-AD57-8C7584B4CF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16" authorId="0" shapeId="0" xr:uid="{D11A60CA-1A6E-4E11-8F34-E1BE6094C79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16" authorId="0" shapeId="0" xr:uid="{7A5B2595-57DE-436D-BBD1-14EE940C21E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6" authorId="0" shapeId="0" xr:uid="{F41D8DF8-85A8-483A-91F4-38925AAD2D7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6" authorId="0" shapeId="0" xr:uid="{E6E8A1CD-B187-4ABC-9B27-3726487AE40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6" authorId="0" shapeId="0" xr:uid="{3BB716F1-D279-45FC-8217-1ACCED6B4EB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6" authorId="0" shapeId="0" xr:uid="{FD48C58C-C655-4D83-94AA-2BA0CFCEBCF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6" authorId="0" shapeId="0" xr:uid="{53E5D266-E71E-467A-9684-017F72CAB48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7" authorId="0" shapeId="0" xr:uid="{C3001B9B-8CDE-42CE-A582-40EE40EBCD1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17" authorId="0" shapeId="0" xr:uid="{CE5B06D9-6697-453E-8893-0FE5301BFED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17" authorId="0" shapeId="0" xr:uid="{543A5493-466F-4326-8742-437C103CB93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17" authorId="0" shapeId="0" xr:uid="{7FD972CB-B5E8-4342-B4F3-A9A8771BDC3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17" authorId="0" shapeId="0" xr:uid="{033B4694-457B-42E4-917E-07BA864AEA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17" authorId="0" shapeId="0" xr:uid="{75E38B70-8D86-452A-9E9C-9ACFDA6741C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H117" authorId="0" shapeId="0" xr:uid="{E69A3CF8-C42A-4F55-BB80-B7689EE907E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I117" authorId="0" shapeId="0" xr:uid="{9CD71538-153C-4751-BE97-F4788FB92DD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J117" authorId="0" shapeId="0" xr:uid="{11A5E336-B773-4B1F-9D20-1597E5E8CA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K117" authorId="0" shapeId="0" xr:uid="{D709A686-B53E-4A81-A19F-C00C798F9BB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<sst xmlns="http://schemas.openxmlformats.org/spreadsheetml/2006/main" count="259" uniqueCount="151">
  <si>
    <t>Constraints</t>
  </si>
  <si>
    <t>Decision and Inputs</t>
  </si>
  <si>
    <t>LHS</t>
  </si>
  <si>
    <t>RHS</t>
  </si>
  <si>
    <t>&gt;=</t>
  </si>
  <si>
    <t>&lt;=</t>
  </si>
  <si>
    <t>$E$30</t>
  </si>
  <si>
    <t>Input</t>
  </si>
  <si>
    <t>$D$16,$D$8:$D$13</t>
  </si>
  <si>
    <t>Baking Time (mins)</t>
  </si>
  <si>
    <t>Profit per pizza ($)</t>
  </si>
  <si>
    <t>Number of  Cheese Pizza</t>
  </si>
  <si>
    <t>Number of Pepperoni Pizza</t>
  </si>
  <si>
    <t>Number of Hawaiian Pizza</t>
  </si>
  <si>
    <t>Number of Pizzas</t>
  </si>
  <si>
    <t>Preparation Time (mins)</t>
  </si>
  <si>
    <t>Meat</t>
  </si>
  <si>
    <t>Sauce</t>
  </si>
  <si>
    <t>Cheese</t>
  </si>
  <si>
    <t>Vegetables</t>
  </si>
  <si>
    <t>Dough Mix(ounce)</t>
  </si>
  <si>
    <t>Maximum amount of Meat available every week</t>
  </si>
  <si>
    <t>Maximum amount of Vegetables available every week</t>
  </si>
  <si>
    <t>Time Requirements</t>
  </si>
  <si>
    <t>Ingredients</t>
  </si>
  <si>
    <t>pineapples</t>
  </si>
  <si>
    <t>Maximum amount of pineapples available every week</t>
  </si>
  <si>
    <t>Pizza Dough (ounce)</t>
  </si>
  <si>
    <t>Pizza sauce(ounce)</t>
  </si>
  <si>
    <t xml:space="preserve"> LP model formulation for Olympic Pizzeria </t>
  </si>
  <si>
    <t>Maximum amount of pizza dough available every week</t>
  </si>
  <si>
    <t>Maximum amount of pizza sauce available every week</t>
  </si>
  <si>
    <t>Maximum amount of mozzarella cheese available every week</t>
  </si>
  <si>
    <t>Mozzarella cheese(ounce)</t>
  </si>
  <si>
    <t>Meat(ounce)</t>
  </si>
  <si>
    <t>Vegetables(ounce)</t>
  </si>
  <si>
    <t>Pineapples(ounce)</t>
  </si>
  <si>
    <t>total available time(minutes)</t>
  </si>
  <si>
    <t>Number of vegetable pizza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</si>
  <si>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</si>
  <si>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</si>
  <si>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</si>
  <si>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</si>
  <si>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</si>
  <si>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</si>
  <si>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</si>
  <si>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</si>
  <si>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</si>
  <si>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</si>
  <si>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</si>
  <si>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</si>
  <si>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</si>
  <si>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</si>
  <si>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</si>
  <si>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</si>
  <si>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$D$7</t>
  </si>
  <si>
    <t>$D$8</t>
  </si>
  <si>
    <t>$D$9</t>
  </si>
  <si>
    <t>$D$10</t>
  </si>
  <si>
    <t>$C$18</t>
  </si>
  <si>
    <t>Maximum preparation time in minutes LHS</t>
  </si>
  <si>
    <t>$C$19</t>
  </si>
  <si>
    <t>Maximum baking time in minutes LHS</t>
  </si>
  <si>
    <t>$C$20</t>
  </si>
  <si>
    <t>Minimum no of cheese pizza to be made weekly LHS</t>
  </si>
  <si>
    <t>$C$21</t>
  </si>
  <si>
    <t>Minimum no of pepperoni pizza to be made weekly LHS</t>
  </si>
  <si>
    <t>$C$22</t>
  </si>
  <si>
    <t>Minimum no of Hawaiian pizza to be made weekly LHS</t>
  </si>
  <si>
    <t>$C$23</t>
  </si>
  <si>
    <t>Minimum no of Vegetable pizza to be made weekly LHS</t>
  </si>
  <si>
    <t>$C$24</t>
  </si>
  <si>
    <t>Maximum amount of pizza dough available every week LHS</t>
  </si>
  <si>
    <t>$C$25</t>
  </si>
  <si>
    <t>Maximum amount of pizza sauce available every week LHS</t>
  </si>
  <si>
    <t>$C$26</t>
  </si>
  <si>
    <t>Maximum amount of mozzarella cheese available every week LHS</t>
  </si>
  <si>
    <t>$C$27</t>
  </si>
  <si>
    <t>Maximum amount of Meat available every week LHS</t>
  </si>
  <si>
    <t>$C$28</t>
  </si>
  <si>
    <t>Maximum amount of Vegetables available every week LHS</t>
  </si>
  <si>
    <t>$C$29</t>
  </si>
  <si>
    <t>Maximum amount of pineapples available every week LHS</t>
  </si>
  <si>
    <t/>
  </si>
  <si>
    <t>$E$18</t>
  </si>
  <si>
    <t>$D$7:$D$10,$D$15</t>
  </si>
  <si>
    <t>$D$15</t>
  </si>
  <si>
    <t>Output</t>
  </si>
  <si>
    <t>$D$15,$D$7:$D$10</t>
  </si>
  <si>
    <t>Data for chart</t>
  </si>
  <si>
    <t>$C$30</t>
  </si>
  <si>
    <t>no of pizzas that can be stored weekly</t>
  </si>
  <si>
    <t>prep tin</t>
  </si>
  <si>
    <t>no of pizzas storage availabilty</t>
  </si>
  <si>
    <t xml:space="preserve"> Availability per week( in ounces)</t>
  </si>
  <si>
    <t>Decision Variables:</t>
  </si>
  <si>
    <t>Objective Function is to maximize the weekly profit :</t>
  </si>
  <si>
    <t>P1 Number of Pizzas</t>
  </si>
  <si>
    <t>P2 Number of Pizzas</t>
  </si>
  <si>
    <t>P3 Number of Pizzas</t>
  </si>
  <si>
    <t>P4 Number of Pizzas</t>
  </si>
  <si>
    <t>Oneway analysis for Solver model in LP model solution worksheet</t>
  </si>
  <si>
    <t>Twoway analysis for Solver model in LP model solution worksheet</t>
  </si>
  <si>
    <t>pizza type</t>
  </si>
  <si>
    <t>LP model Formulation</t>
  </si>
  <si>
    <t>Max storage capacity per week</t>
  </si>
  <si>
    <t>Output and Max storage capacity per week value for chart</t>
  </si>
  <si>
    <t>Max storage capacity per week value</t>
  </si>
  <si>
    <t>Maximum storage capacity availability(no of pizzas that can be stored) every week</t>
  </si>
  <si>
    <t>Microsoft Excel 16.38 Sensitivity Report</t>
  </si>
  <si>
    <t>Worksheet: [Pizza shop_LP_Model_updated.xlsx]LP model solution</t>
  </si>
  <si>
    <t>Report Created: 3/11/22 12:46:25 AM</t>
  </si>
  <si>
    <t>Maximum storage capacity availability(no of pizzas that can be stored) every week LHS</t>
  </si>
  <si>
    <t>$E$9</t>
  </si>
  <si>
    <t xml:space="preserve">Profit per Hawaiian pizza </t>
  </si>
  <si>
    <t>Profit per Hawaiian pizza  (cell $E$9) values along side, Max storage capacity per week (cell $E$30) values along top, output cell in corner</t>
  </si>
  <si>
    <t>Output and Profit per Hawaiian pizza  value for chart</t>
  </si>
  <si>
    <t>Profit per Hawaiian pizza  value</t>
  </si>
  <si>
    <t>Maximum storage capacity availability(no of pizzas that can be stored) every week (cell $E$30) values along side, output cell(s) along top</t>
  </si>
  <si>
    <t>Maximum Baking Time in Minutes (cell $E$19) values along side, output cell(s) along top</t>
  </si>
  <si>
    <r>
      <rPr>
        <b/>
        <sz val="12"/>
        <color rgb="FF000000"/>
        <rFont val="Times New Roman"/>
        <family val="1"/>
      </rPr>
      <t>P</t>
    </r>
    <r>
      <rPr>
        <b/>
        <vertAlign val="subscript"/>
        <sz val="12"/>
        <color rgb="FF000000"/>
        <rFont val="Times New Roman"/>
        <family val="1"/>
      </rPr>
      <t>1</t>
    </r>
  </si>
  <si>
    <r>
      <rPr>
        <b/>
        <sz val="12"/>
        <color rgb="FF000000"/>
        <rFont val="Times New Roman"/>
        <family val="1"/>
      </rPr>
      <t>P</t>
    </r>
    <r>
      <rPr>
        <b/>
        <vertAlign val="subscript"/>
        <sz val="12"/>
        <color rgb="FF000000"/>
        <rFont val="Times New Roman"/>
        <family val="1"/>
      </rPr>
      <t>2</t>
    </r>
    <r>
      <rPr>
        <sz val="12"/>
        <color theme="1"/>
        <rFont val="Calibri"/>
        <family val="2"/>
        <scheme val="minor"/>
      </rPr>
      <t/>
    </r>
  </si>
  <si>
    <r>
      <rPr>
        <b/>
        <sz val="12"/>
        <color rgb="FF000000"/>
        <rFont val="Times New Roman"/>
        <family val="1"/>
      </rPr>
      <t>P</t>
    </r>
    <r>
      <rPr>
        <b/>
        <vertAlign val="subscript"/>
        <sz val="12"/>
        <color rgb="FF000000"/>
        <rFont val="Times New Roman"/>
        <family val="1"/>
      </rPr>
      <t>3</t>
    </r>
    <r>
      <rPr>
        <sz val="12"/>
        <color theme="1"/>
        <rFont val="Calibri"/>
        <family val="2"/>
        <scheme val="minor"/>
      </rPr>
      <t/>
    </r>
  </si>
  <si>
    <r>
      <rPr>
        <b/>
        <sz val="12"/>
        <color rgb="FF000000"/>
        <rFont val="Times New Roman"/>
        <family val="1"/>
      </rPr>
      <t>P</t>
    </r>
    <r>
      <rPr>
        <b/>
        <vertAlign val="subscript"/>
        <sz val="12"/>
        <color rgb="FF000000"/>
        <rFont val="Times New Roman"/>
        <family val="1"/>
      </rPr>
      <t>4</t>
    </r>
    <r>
      <rPr>
        <sz val="12"/>
        <color theme="1"/>
        <rFont val="Calibri"/>
        <family val="2"/>
        <scheme val="minor"/>
      </rPr>
      <t/>
    </r>
  </si>
  <si>
    <r>
      <t>Max 1.40*P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 xml:space="preserve"> +  2.10*P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 xml:space="preserve"> + 1.50*P</t>
    </r>
    <r>
      <rPr>
        <b/>
        <vertAlign val="subscript"/>
        <sz val="12"/>
        <color rgb="FF000000"/>
        <rFont val="Times New Roman"/>
        <family val="1"/>
      </rPr>
      <t>3</t>
    </r>
    <r>
      <rPr>
        <b/>
        <sz val="12"/>
        <color rgb="FF000000"/>
        <rFont val="Times New Roman"/>
        <family val="1"/>
      </rPr>
      <t xml:space="preserve"> + 1.30* P</t>
    </r>
    <r>
      <rPr>
        <b/>
        <vertAlign val="subscript"/>
        <sz val="12"/>
        <color rgb="FF000000"/>
        <rFont val="Times New Roman"/>
        <family val="1"/>
      </rPr>
      <t>4</t>
    </r>
  </si>
  <si>
    <r>
      <t>3*P</t>
    </r>
    <r>
      <rPr>
        <b/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>+5*P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+4*P</t>
    </r>
    <r>
      <rPr>
        <b/>
        <vertAlign val="sub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+4*P</t>
    </r>
    <r>
      <rPr>
        <b/>
        <vertAlign val="subscript"/>
        <sz val="12"/>
        <color theme="1"/>
        <rFont val="Times New Roman"/>
        <family val="1"/>
      </rPr>
      <t>4</t>
    </r>
    <r>
      <rPr>
        <b/>
        <sz val="12"/>
        <color theme="1"/>
        <rFont val="Times New Roman"/>
        <family val="1"/>
      </rPr>
      <t xml:space="preserve"> &lt;= 1200</t>
    </r>
  </si>
  <si>
    <r>
      <t>7*P</t>
    </r>
    <r>
      <rPr>
        <b/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>+10*P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+8*P</t>
    </r>
    <r>
      <rPr>
        <b/>
        <vertAlign val="sub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+8*P</t>
    </r>
    <r>
      <rPr>
        <b/>
        <vertAlign val="subscript"/>
        <sz val="12"/>
        <color theme="1"/>
        <rFont val="Times New Roman"/>
        <family val="1"/>
      </rPr>
      <t>4</t>
    </r>
    <r>
      <rPr>
        <b/>
        <sz val="12"/>
        <color theme="1"/>
        <rFont val="Times New Roman"/>
        <family val="1"/>
      </rPr>
      <t xml:space="preserve"> &lt;= 2000</t>
    </r>
  </si>
  <si>
    <r>
      <t>P</t>
    </r>
    <r>
      <rPr>
        <b/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 xml:space="preserve"> &lt;=40</t>
    </r>
  </si>
  <si>
    <r>
      <t>P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&lt;=40</t>
    </r>
  </si>
  <si>
    <r>
      <t>P</t>
    </r>
    <r>
      <rPr>
        <b/>
        <vertAlign val="sub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 xml:space="preserve"> &lt;=20</t>
    </r>
  </si>
  <si>
    <r>
      <t>P</t>
    </r>
    <r>
      <rPr>
        <b/>
        <vertAlign val="subscript"/>
        <sz val="12"/>
        <color theme="1"/>
        <rFont val="Times New Roman"/>
        <family val="1"/>
      </rPr>
      <t xml:space="preserve">4 </t>
    </r>
    <r>
      <rPr>
        <b/>
        <sz val="12"/>
        <color theme="1"/>
        <rFont val="Times New Roman"/>
        <family val="1"/>
      </rPr>
      <t>&lt;=30</t>
    </r>
  </si>
  <si>
    <r>
      <t>P</t>
    </r>
    <r>
      <rPr>
        <b/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>+P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+P</t>
    </r>
    <r>
      <rPr>
        <b/>
        <vertAlign val="sub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+P</t>
    </r>
    <r>
      <rPr>
        <b/>
        <vertAlign val="subscript"/>
        <sz val="12"/>
        <color theme="1"/>
        <rFont val="Times New Roman"/>
        <family val="1"/>
      </rPr>
      <t>4</t>
    </r>
    <r>
      <rPr>
        <b/>
        <sz val="12"/>
        <color theme="1"/>
        <rFont val="Times New Roman"/>
        <family val="1"/>
      </rPr>
      <t xml:space="preserve"> &lt;= 220</t>
    </r>
  </si>
  <si>
    <r>
      <t>5*P</t>
    </r>
    <r>
      <rPr>
        <b/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>+5*P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+5*P</t>
    </r>
    <r>
      <rPr>
        <b/>
        <vertAlign val="sub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+5*P</t>
    </r>
    <r>
      <rPr>
        <b/>
        <vertAlign val="subscript"/>
        <sz val="12"/>
        <color theme="1"/>
        <rFont val="Times New Roman"/>
        <family val="1"/>
      </rPr>
      <t>4</t>
    </r>
    <r>
      <rPr>
        <b/>
        <sz val="12"/>
        <color theme="1"/>
        <rFont val="Times New Roman"/>
        <family val="1"/>
      </rPr>
      <t xml:space="preserve"> &lt;= 1500</t>
    </r>
  </si>
  <si>
    <r>
      <t>3*P</t>
    </r>
    <r>
      <rPr>
        <b/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>+3*P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+3*P</t>
    </r>
    <r>
      <rPr>
        <b/>
        <vertAlign val="sub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+3*P</t>
    </r>
    <r>
      <rPr>
        <b/>
        <vertAlign val="subscript"/>
        <sz val="12"/>
        <color theme="1"/>
        <rFont val="Times New Roman"/>
        <family val="1"/>
      </rPr>
      <t>4</t>
    </r>
    <r>
      <rPr>
        <b/>
        <sz val="12"/>
        <color theme="1"/>
        <rFont val="Times New Roman"/>
        <family val="1"/>
      </rPr>
      <t xml:space="preserve">  &lt;= 800</t>
    </r>
  </si>
  <si>
    <r>
      <t>5*P</t>
    </r>
    <r>
      <rPr>
        <b/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>+3*P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+3*P</t>
    </r>
    <r>
      <rPr>
        <b/>
        <vertAlign val="sub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+3*P</t>
    </r>
    <r>
      <rPr>
        <b/>
        <vertAlign val="subscript"/>
        <sz val="12"/>
        <color theme="1"/>
        <rFont val="Times New Roman"/>
        <family val="1"/>
      </rPr>
      <t>4</t>
    </r>
    <r>
      <rPr>
        <b/>
        <sz val="12"/>
        <color theme="1"/>
        <rFont val="Times New Roman"/>
        <family val="1"/>
      </rPr>
      <t xml:space="preserve">  &lt;= 900</t>
    </r>
  </si>
  <si>
    <r>
      <t>0*P</t>
    </r>
    <r>
      <rPr>
        <b/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>+4*P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+3*P</t>
    </r>
    <r>
      <rPr>
        <b/>
        <vertAlign val="sub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+0*P</t>
    </r>
    <r>
      <rPr>
        <b/>
        <vertAlign val="subscript"/>
        <sz val="12"/>
        <color theme="1"/>
        <rFont val="Times New Roman"/>
        <family val="1"/>
      </rPr>
      <t xml:space="preserve">4 </t>
    </r>
    <r>
      <rPr>
        <b/>
        <sz val="12"/>
        <color theme="1"/>
        <rFont val="Times New Roman"/>
        <family val="1"/>
      </rPr>
      <t>&lt;= 640</t>
    </r>
  </si>
  <si>
    <r>
      <t>0*P</t>
    </r>
    <r>
      <rPr>
        <b/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>+3*P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+3*P</t>
    </r>
    <r>
      <rPr>
        <b/>
        <vertAlign val="sub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+5*P</t>
    </r>
    <r>
      <rPr>
        <b/>
        <vertAlign val="subscript"/>
        <sz val="12"/>
        <color theme="1"/>
        <rFont val="Times New Roman"/>
        <family val="1"/>
      </rPr>
      <t xml:space="preserve">4 </t>
    </r>
    <r>
      <rPr>
        <b/>
        <sz val="12"/>
        <color theme="1"/>
        <rFont val="Times New Roman"/>
        <family val="1"/>
      </rPr>
      <t>&lt;= 640</t>
    </r>
  </si>
  <si>
    <r>
      <t>0*P</t>
    </r>
    <r>
      <rPr>
        <b/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>+0*P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+3*P</t>
    </r>
    <r>
      <rPr>
        <b/>
        <vertAlign val="sub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+0*P</t>
    </r>
    <r>
      <rPr>
        <b/>
        <vertAlign val="subscript"/>
        <sz val="12"/>
        <color theme="1"/>
        <rFont val="Times New Roman"/>
        <family val="1"/>
      </rPr>
      <t xml:space="preserve">4 </t>
    </r>
    <r>
      <rPr>
        <b/>
        <sz val="12"/>
        <color theme="1"/>
        <rFont val="Times New Roman"/>
        <family val="1"/>
      </rPr>
      <t>&lt;= 80</t>
    </r>
  </si>
  <si>
    <t>Minimum number of cheese pizza to be made weekly</t>
  </si>
  <si>
    <t>Minimum number of pepperoni pizza to be made weekly</t>
  </si>
  <si>
    <t>Minimum number of Hawaiian pizza to be made weekly</t>
  </si>
  <si>
    <t>Minimum number of Vegetable pizza to be made weekly</t>
  </si>
  <si>
    <t>Non negativity</t>
  </si>
  <si>
    <t>Profit per Hawaiian pizza  (cell $E$9) values along side, output cell(s) along top</t>
  </si>
  <si>
    <t>Maximum amount of pizza dough available every week (cell $E$24) values along side, output cell(s) along top</t>
  </si>
  <si>
    <t>$E$29</t>
  </si>
  <si>
    <r>
      <t>P</t>
    </r>
    <r>
      <rPr>
        <b/>
        <vertAlign val="subscript"/>
        <sz val="12"/>
        <color theme="1"/>
        <rFont val="Times New Roman"/>
        <family val="1"/>
      </rPr>
      <t>1,</t>
    </r>
    <r>
      <rPr>
        <b/>
        <sz val="12"/>
        <color theme="1"/>
        <rFont val="Times New Roman"/>
        <family val="1"/>
      </rPr>
      <t>P</t>
    </r>
    <r>
      <rPr>
        <b/>
        <vertAlign val="subscript"/>
        <sz val="12"/>
        <color theme="1"/>
        <rFont val="Times New Roman"/>
        <family val="1"/>
      </rPr>
      <t>2,</t>
    </r>
    <r>
      <rPr>
        <b/>
        <sz val="12"/>
        <color theme="1"/>
        <rFont val="Times New Roman"/>
        <family val="1"/>
      </rPr>
      <t>P</t>
    </r>
    <r>
      <rPr>
        <b/>
        <vertAlign val="subscript"/>
        <sz val="12"/>
        <color theme="1"/>
        <rFont val="Times New Roman"/>
        <family val="1"/>
      </rPr>
      <t>3,</t>
    </r>
    <r>
      <rPr>
        <b/>
        <sz val="12"/>
        <color theme="1"/>
        <rFont val="Times New Roman"/>
        <family val="1"/>
      </rPr>
      <t>P</t>
    </r>
    <r>
      <rPr>
        <b/>
        <vertAlign val="subscript"/>
        <sz val="12"/>
        <color theme="1"/>
        <rFont val="Times New Roman"/>
        <family val="1"/>
      </rPr>
      <t>4</t>
    </r>
    <r>
      <rPr>
        <b/>
        <sz val="12"/>
        <color theme="1"/>
        <rFont val="Times New Roman"/>
        <family val="1"/>
      </rPr>
      <t xml:space="preserve"> &gt;= 0</t>
    </r>
  </si>
  <si>
    <t>Total</t>
  </si>
  <si>
    <t>Maximum preparation time in minutes(weekly)</t>
  </si>
  <si>
    <t>Maximum baking time in minutes(weekly)</t>
  </si>
  <si>
    <t>Objective Function, Maximum total profit per week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</si>
</sst>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18"/>
      <name val="Calibri"/>
      <family val="2"/>
      <scheme val="minor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333333"/>
      <name val="Times New Roman"/>
      <family val="1"/>
    </font>
    <font>
      <b/>
      <vertAlign val="subscript"/>
      <sz val="12"/>
      <color rgb="FF000000"/>
      <name val="Times New Roman"/>
      <family val="1"/>
    </font>
    <font>
      <sz val="8"/>
      <name val="Calibri"/>
      <family val="2"/>
      <scheme val="minor"/>
    </font>
    <font>
      <b/>
      <sz val="14"/>
      <color theme="4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C00000"/>
      <name val="Times New Roman"/>
      <family val="1"/>
    </font>
    <font>
      <b/>
      <sz val="14"/>
      <color rgb="FF333333"/>
      <name val="Times New Roman"/>
      <family val="1"/>
    </font>
    <font>
      <b/>
      <vertAlign val="subscript"/>
      <sz val="12"/>
      <color theme="1"/>
      <name val="Times New Roman"/>
      <family val="1"/>
    </font>
    <font>
      <sz val="9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EE0D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0" xfId="0" applyNumberFormat="1"/>
    <xf numFmtId="0" fontId="0" fillId="0" borderId="0" xfId="0" applyAlignment="1">
      <alignment horizontal="right"/>
    </xf>
    <xf numFmtId="0" fontId="0" fillId="8" borderId="0" xfId="0" applyFill="1"/>
    <xf numFmtId="0" fontId="0" fillId="3" borderId="0" xfId="0" applyFill="1" applyAlignment="1">
      <alignment horizontal="right" textRotation="90"/>
    </xf>
    <xf numFmtId="0" fontId="3" fillId="0" borderId="0" xfId="0" applyFont="1"/>
    <xf numFmtId="2" fontId="0" fillId="0" borderId="0" xfId="0" applyNumberFormat="1" applyBorder="1"/>
    <xf numFmtId="2" fontId="0" fillId="0" borderId="16" xfId="0" applyNumberFormat="1" applyBorder="1"/>
    <xf numFmtId="2" fontId="0" fillId="0" borderId="14" xfId="0" applyNumberFormat="1" applyBorder="1"/>
    <xf numFmtId="2" fontId="0" fillId="0" borderId="17" xfId="0" applyNumberFormat="1" applyBorder="1"/>
    <xf numFmtId="2" fontId="0" fillId="0" borderId="10" xfId="0" applyNumberFormat="1" applyBorder="1"/>
    <xf numFmtId="2" fontId="0" fillId="0" borderId="13" xfId="0" applyNumberFormat="1" applyBorder="1"/>
    <xf numFmtId="2" fontId="0" fillId="0" borderId="15" xfId="0" applyNumberFormat="1" applyBorder="1"/>
    <xf numFmtId="2" fontId="0" fillId="0" borderId="0" xfId="0" applyNumberFormat="1"/>
    <xf numFmtId="0" fontId="0" fillId="0" borderId="0" xfId="0" applyAlignment="1">
      <alignment horizontal="right" textRotation="90"/>
    </xf>
    <xf numFmtId="2" fontId="0" fillId="0" borderId="11" xfId="0" applyNumberFormat="1" applyBorder="1"/>
    <xf numFmtId="2" fontId="0" fillId="0" borderId="12" xfId="0" applyNumberFormat="1" applyBorder="1"/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left" vertical="top" readingOrder="1"/>
    </xf>
    <xf numFmtId="0" fontId="8" fillId="9" borderId="1" xfId="0" applyFont="1" applyFill="1" applyBorder="1" applyAlignment="1">
      <alignment horizontal="left" vertical="top" wrapText="1" readingOrder="1"/>
    </xf>
    <xf numFmtId="0" fontId="10" fillId="0" borderId="1" xfId="0" applyFont="1" applyBorder="1" applyAlignment="1">
      <alignment horizontal="left" vertical="top" readingOrder="1"/>
    </xf>
    <xf numFmtId="0" fontId="12" fillId="0" borderId="0" xfId="0" applyFont="1" applyAlignment="1">
      <alignment horizontal="left"/>
    </xf>
    <xf numFmtId="0" fontId="13" fillId="0" borderId="0" xfId="0" applyFont="1"/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readingOrder="1"/>
    </xf>
    <xf numFmtId="2" fontId="15" fillId="2" borderId="1" xfId="0" applyNumberFormat="1" applyFont="1" applyFill="1" applyBorder="1" applyAlignment="1">
      <alignment horizontal="center"/>
    </xf>
    <xf numFmtId="2" fontId="13" fillId="5" borderId="1" xfId="0" applyNumberFormat="1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3" fillId="0" borderId="0" xfId="0" applyFont="1" applyAlignment="1">
      <alignment horizontal="left" vertical="center"/>
    </xf>
    <xf numFmtId="2" fontId="15" fillId="2" borderId="0" xfId="0" applyNumberFormat="1" applyFont="1" applyFill="1" applyAlignment="1">
      <alignment horizontal="center"/>
    </xf>
    <xf numFmtId="0" fontId="13" fillId="6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2" fontId="13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6" fillId="0" borderId="0" xfId="0" applyFont="1"/>
    <xf numFmtId="6" fontId="16" fillId="0" borderId="0" xfId="0" applyNumberFormat="1" applyFont="1"/>
    <xf numFmtId="2" fontId="13" fillId="5" borderId="1" xfId="0" applyNumberFormat="1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readingOrder="1"/>
    </xf>
    <xf numFmtId="0" fontId="10" fillId="0" borderId="1" xfId="0" applyFont="1" applyBorder="1" applyAlignment="1">
      <alignment horizontal="center" vertical="center" readingOrder="1"/>
    </xf>
    <xf numFmtId="2" fontId="7" fillId="5" borderId="1" xfId="0" applyNumberFormat="1" applyFont="1" applyFill="1" applyBorder="1" applyAlignment="1">
      <alignment horizontal="center" vertical="center" wrapText="1"/>
    </xf>
    <xf numFmtId="2" fontId="7" fillId="5" borderId="1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readingOrder="1"/>
    </xf>
    <xf numFmtId="0" fontId="7" fillId="7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 readingOrder="1"/>
    </xf>
    <xf numFmtId="2" fontId="13" fillId="3" borderId="18" xfId="0" applyNumberFormat="1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2" fontId="13" fillId="7" borderId="1" xfId="0" applyNumberFormat="1" applyFont="1" applyFill="1" applyBorder="1"/>
    <xf numFmtId="0" fontId="13" fillId="7" borderId="1" xfId="0" applyFont="1" applyFill="1" applyBorder="1"/>
    <xf numFmtId="0" fontId="0" fillId="10" borderId="8" xfId="0" applyFill="1" applyBorder="1" applyAlignment="1"/>
    <xf numFmtId="0" fontId="0" fillId="10" borderId="9" xfId="0" applyFill="1" applyBorder="1" applyAlignment="1"/>
    <xf numFmtId="0" fontId="7" fillId="7" borderId="3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0DE"/>
      <color rgb="FFFDB6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'1 way -max baking time'!$K$1</c:f>
          <c:strCache>
            <c:ptCount val="1"/>
            <c:pt idx="0">
              <c:v>Sensitivity of $D$15 to Maximum Baking Time in Minutes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'1 way -max baking time'!$A$5:$A$15</c:f>
              <c:numCache>
                <c:formatCode>0.00</c:formatCode>
                <c:ptCount val="11"/>
                <c:pt idx="0">
                  <c:v>1500</c:v>
                </c:pt>
                <c:pt idx="1">
                  <c:v>1600</c:v>
                </c:pt>
                <c:pt idx="2">
                  <c:v>1700</c:v>
                </c:pt>
                <c:pt idx="3">
                  <c:v>1800</c:v>
                </c:pt>
                <c:pt idx="4">
                  <c:v>1900</c:v>
                </c:pt>
                <c:pt idx="5">
                  <c:v>2000</c:v>
                </c:pt>
                <c:pt idx="6">
                  <c:v>2100</c:v>
                </c:pt>
                <c:pt idx="7">
                  <c:v>2200</c:v>
                </c:pt>
                <c:pt idx="8">
                  <c:v>2300</c:v>
                </c:pt>
                <c:pt idx="9">
                  <c:v>2400</c:v>
                </c:pt>
                <c:pt idx="10">
                  <c:v>2500</c:v>
                </c:pt>
              </c:numCache>
            </c:numRef>
          </c:cat>
          <c:val>
            <c:numRef>
              <c:f>'1 way -max baking time'!$K$5:$K$15</c:f>
              <c:numCache>
                <c:formatCode>General</c:formatCode>
                <c:ptCount val="11"/>
                <c:pt idx="0">
                  <c:v>297.19999217987061</c:v>
                </c:pt>
                <c:pt idx="1">
                  <c:v>318.19999122619629</c:v>
                </c:pt>
                <c:pt idx="2">
                  <c:v>339.19999027252197</c:v>
                </c:pt>
                <c:pt idx="3">
                  <c:v>360.19998931884766</c:v>
                </c:pt>
                <c:pt idx="4">
                  <c:v>381.19998836517334</c:v>
                </c:pt>
                <c:pt idx="5">
                  <c:v>397.99998760223389</c:v>
                </c:pt>
                <c:pt idx="6">
                  <c:v>397.99998760223389</c:v>
                </c:pt>
                <c:pt idx="7">
                  <c:v>397.99998760223389</c:v>
                </c:pt>
                <c:pt idx="8">
                  <c:v>397.99998760223389</c:v>
                </c:pt>
                <c:pt idx="9">
                  <c:v>397.99998760223389</c:v>
                </c:pt>
                <c:pt idx="10">
                  <c:v>397.99998760223389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D9-437F-AC8C-CB412B415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6754639"/>
        <c:axId val="1446760463"/>
      </c:lineChart>
      <c:catAx>
        <c:axId val="14467546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Maximum Baking Time in Minutes ($E$19)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46760463"/>
        <c:crosses val="autoZero"/>
        <c:auto val="1"/>
        <c:lblAlgn val="ctr"/>
        <c:lblOffset val="100"/>
        <c:noMultiLvlLbl val="0"/>
      </c:catAx>
      <c:valAx>
        <c:axId val="144676046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6754639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'1 way-Max amount of pizza dough'!$K$1</c:f>
          <c:strCache>
            <c:ptCount val="1"/>
            <c:pt idx="0">
              <c:v>Sensitivity of $D$15 to Maximum amount of pizza dough available every week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'1 way-Max amount of pizza dough'!$A$5:$A$29</c:f>
              <c:numCache>
                <c:formatCode>General</c:formatCode>
                <c:ptCount val="25"/>
                <c:pt idx="0">
                  <c:v>900</c:v>
                </c:pt>
                <c:pt idx="1">
                  <c:v>950</c:v>
                </c:pt>
                <c:pt idx="2">
                  <c:v>1000</c:v>
                </c:pt>
                <c:pt idx="3">
                  <c:v>1050</c:v>
                </c:pt>
                <c:pt idx="4">
                  <c:v>1100</c:v>
                </c:pt>
                <c:pt idx="5">
                  <c:v>1150</c:v>
                </c:pt>
                <c:pt idx="6">
                  <c:v>1200</c:v>
                </c:pt>
                <c:pt idx="7">
                  <c:v>1250</c:v>
                </c:pt>
                <c:pt idx="8">
                  <c:v>1300</c:v>
                </c:pt>
                <c:pt idx="9">
                  <c:v>1350</c:v>
                </c:pt>
                <c:pt idx="10">
                  <c:v>1400</c:v>
                </c:pt>
                <c:pt idx="11">
                  <c:v>1450</c:v>
                </c:pt>
                <c:pt idx="12">
                  <c:v>1500</c:v>
                </c:pt>
                <c:pt idx="13">
                  <c:v>1550</c:v>
                </c:pt>
                <c:pt idx="14">
                  <c:v>1600</c:v>
                </c:pt>
                <c:pt idx="15">
                  <c:v>1650</c:v>
                </c:pt>
                <c:pt idx="16">
                  <c:v>1700</c:v>
                </c:pt>
                <c:pt idx="17">
                  <c:v>1750</c:v>
                </c:pt>
                <c:pt idx="18">
                  <c:v>1800</c:v>
                </c:pt>
                <c:pt idx="19">
                  <c:v>1850</c:v>
                </c:pt>
                <c:pt idx="20">
                  <c:v>1900</c:v>
                </c:pt>
                <c:pt idx="21">
                  <c:v>1950</c:v>
                </c:pt>
                <c:pt idx="22">
                  <c:v>2000</c:v>
                </c:pt>
                <c:pt idx="23">
                  <c:v>2050</c:v>
                </c:pt>
                <c:pt idx="24">
                  <c:v>2100</c:v>
                </c:pt>
              </c:numCache>
            </c:numRef>
          </c:cat>
          <c:val>
            <c:numRef>
              <c:f>'1 way-Max amount of pizza dough'!$K$5:$K$29</c:f>
              <c:numCache>
                <c:formatCode>General</c:formatCode>
                <c:ptCount val="25"/>
                <c:pt idx="0">
                  <c:v>313.99999141693115</c:v>
                </c:pt>
                <c:pt idx="1">
                  <c:v>334.99999046325684</c:v>
                </c:pt>
                <c:pt idx="2">
                  <c:v>355.99998950958252</c:v>
                </c:pt>
                <c:pt idx="3">
                  <c:v>376.9999885559082</c:v>
                </c:pt>
                <c:pt idx="4">
                  <c:v>397.99998760223389</c:v>
                </c:pt>
                <c:pt idx="5">
                  <c:v>397.99998760223389</c:v>
                </c:pt>
                <c:pt idx="6">
                  <c:v>397.99998760223389</c:v>
                </c:pt>
                <c:pt idx="7">
                  <c:v>397.99998760223389</c:v>
                </c:pt>
                <c:pt idx="8">
                  <c:v>397.99998760223389</c:v>
                </c:pt>
                <c:pt idx="9">
                  <c:v>397.99998760223389</c:v>
                </c:pt>
                <c:pt idx="10">
                  <c:v>397.99998760223389</c:v>
                </c:pt>
                <c:pt idx="11">
                  <c:v>397.99998760223389</c:v>
                </c:pt>
                <c:pt idx="12">
                  <c:v>397.99998760223389</c:v>
                </c:pt>
                <c:pt idx="13">
                  <c:v>397.99998760223389</c:v>
                </c:pt>
                <c:pt idx="14">
                  <c:v>397.99998760223389</c:v>
                </c:pt>
                <c:pt idx="15">
                  <c:v>397.99998760223389</c:v>
                </c:pt>
                <c:pt idx="16">
                  <c:v>397.99998760223389</c:v>
                </c:pt>
                <c:pt idx="17">
                  <c:v>397.99998760223389</c:v>
                </c:pt>
                <c:pt idx="18">
                  <c:v>397.99998760223389</c:v>
                </c:pt>
                <c:pt idx="19">
                  <c:v>397.99998760223389</c:v>
                </c:pt>
                <c:pt idx="20">
                  <c:v>397.99998760223389</c:v>
                </c:pt>
                <c:pt idx="21">
                  <c:v>397.99998760223389</c:v>
                </c:pt>
                <c:pt idx="22">
                  <c:v>397.99998760223389</c:v>
                </c:pt>
                <c:pt idx="23">
                  <c:v>397.99998760223389</c:v>
                </c:pt>
                <c:pt idx="24">
                  <c:v>397.99998760223389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8A-4BBE-ABC6-8D378A05B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451312"/>
        <c:axId val="591450000"/>
      </c:lineChart>
      <c:catAx>
        <c:axId val="591451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Maximum amount of pizza dough available every week ($E$24)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450000"/>
        <c:crosses val="autoZero"/>
        <c:auto val="1"/>
        <c:lblAlgn val="ctr"/>
        <c:lblOffset val="100"/>
        <c:noMultiLvlLbl val="0"/>
      </c:catAx>
      <c:valAx>
        <c:axId val="591450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145131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'1 Way -max Storage Capacity'!$K$1</c:f>
          <c:strCache>
            <c:ptCount val="1"/>
            <c:pt idx="0">
              <c:v>Sensitivity of $D$15 to Maximum storage capacity availability(no of pizzas that can be stored) every week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'1 Way -max Storage Capacity'!$A$5:$A$20</c:f>
              <c:numCache>
                <c:formatCode>General</c:formatCode>
                <c:ptCount val="16"/>
                <c:pt idx="0">
                  <c:v>150</c:v>
                </c:pt>
                <c:pt idx="1">
                  <c:v>160</c:v>
                </c:pt>
                <c:pt idx="2">
                  <c:v>170</c:v>
                </c:pt>
                <c:pt idx="3">
                  <c:v>180</c:v>
                </c:pt>
                <c:pt idx="4">
                  <c:v>190</c:v>
                </c:pt>
                <c:pt idx="5">
                  <c:v>200</c:v>
                </c:pt>
                <c:pt idx="6">
                  <c:v>210</c:v>
                </c:pt>
                <c:pt idx="7">
                  <c:v>220</c:v>
                </c:pt>
                <c:pt idx="8">
                  <c:v>230</c:v>
                </c:pt>
                <c:pt idx="9">
                  <c:v>240</c:v>
                </c:pt>
                <c:pt idx="10">
                  <c:v>250</c:v>
                </c:pt>
                <c:pt idx="11">
                  <c:v>260</c:v>
                </c:pt>
                <c:pt idx="12">
                  <c:v>270</c:v>
                </c:pt>
                <c:pt idx="13">
                  <c:v>280</c:v>
                </c:pt>
                <c:pt idx="14">
                  <c:v>290</c:v>
                </c:pt>
                <c:pt idx="15">
                  <c:v>300</c:v>
                </c:pt>
              </c:numCache>
            </c:numRef>
          </c:cat>
          <c:val>
            <c:numRef>
              <c:f>'1 Way -max Storage Capacity'!$K$5:$K$20</c:f>
              <c:numCache>
                <c:formatCode>General</c:formatCode>
                <c:ptCount val="16"/>
                <c:pt idx="0">
                  <c:v>250.9999942779541</c:v>
                </c:pt>
                <c:pt idx="1">
                  <c:v>271.99999332427979</c:v>
                </c:pt>
                <c:pt idx="2">
                  <c:v>292.99999237060547</c:v>
                </c:pt>
                <c:pt idx="3">
                  <c:v>313.99999141693115</c:v>
                </c:pt>
                <c:pt idx="4">
                  <c:v>334.99999046325684</c:v>
                </c:pt>
                <c:pt idx="5">
                  <c:v>355.99998950958252</c:v>
                </c:pt>
                <c:pt idx="6">
                  <c:v>376.9999885559082</c:v>
                </c:pt>
                <c:pt idx="7">
                  <c:v>397.99998760223389</c:v>
                </c:pt>
                <c:pt idx="8">
                  <c:v>402.19998741149902</c:v>
                </c:pt>
                <c:pt idx="9">
                  <c:v>402.19998741149902</c:v>
                </c:pt>
                <c:pt idx="10">
                  <c:v>402.19998741149902</c:v>
                </c:pt>
                <c:pt idx="11">
                  <c:v>402.19998741149902</c:v>
                </c:pt>
                <c:pt idx="12">
                  <c:v>402.19998741149902</c:v>
                </c:pt>
                <c:pt idx="13">
                  <c:v>402.19998741149902</c:v>
                </c:pt>
                <c:pt idx="14">
                  <c:v>402.19998741149902</c:v>
                </c:pt>
                <c:pt idx="15">
                  <c:v>402.19998741149902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9-4DB8-9E22-39359BEA0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91903"/>
        <c:axId val="184895231"/>
      </c:lineChart>
      <c:catAx>
        <c:axId val="184891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Maximum storage capacity availability(no of pizzas that can be stored) every week ($E$30)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895231"/>
        <c:crosses val="autoZero"/>
        <c:auto val="1"/>
        <c:lblAlgn val="ctr"/>
        <c:lblOffset val="100"/>
        <c:noMultiLvlLbl val="0"/>
      </c:catAx>
      <c:valAx>
        <c:axId val="18489523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891903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'1 Way-Profit per Hawaiian Pizza'!$K$1</c:f>
          <c:strCache>
            <c:ptCount val="1"/>
            <c:pt idx="0">
              <c:v>Sensitivity of $D$15 to Profit per Hawaiian pizza 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'1 Way-Profit per Hawaiian Pizza'!$A$5:$A$25</c:f>
              <c:numCache>
                <c:formatCode>0.00</c:formatCode>
                <c:ptCount val="21"/>
                <c:pt idx="0">
                  <c:v>0.5</c:v>
                </c:pt>
                <c:pt idx="1">
                  <c:v>0.60000002384185791</c:v>
                </c:pt>
                <c:pt idx="2">
                  <c:v>0.69999998807907104</c:v>
                </c:pt>
                <c:pt idx="3">
                  <c:v>0.80000001192092896</c:v>
                </c:pt>
                <c:pt idx="4">
                  <c:v>0.89999997615814209</c:v>
                </c:pt>
                <c:pt idx="5">
                  <c:v>1</c:v>
                </c:pt>
                <c:pt idx="6">
                  <c:v>1.1000000238418579</c:v>
                </c:pt>
                <c:pt idx="7">
                  <c:v>1.2000000476837158</c:v>
                </c:pt>
                <c:pt idx="8">
                  <c:v>1.2999999523162842</c:v>
                </c:pt>
                <c:pt idx="9">
                  <c:v>1.3999999761581421</c:v>
                </c:pt>
                <c:pt idx="10">
                  <c:v>1.5</c:v>
                </c:pt>
                <c:pt idx="11">
                  <c:v>1.6000000238418579</c:v>
                </c:pt>
                <c:pt idx="12">
                  <c:v>1.7000000476837158</c:v>
                </c:pt>
                <c:pt idx="13">
                  <c:v>1.8000000715255737</c:v>
                </c:pt>
                <c:pt idx="14">
                  <c:v>1.8999999761581421</c:v>
                </c:pt>
                <c:pt idx="15">
                  <c:v>2</c:v>
                </c:pt>
                <c:pt idx="16">
                  <c:v>2.0999999046325684</c:v>
                </c:pt>
                <c:pt idx="17">
                  <c:v>2.2000000476837158</c:v>
                </c:pt>
                <c:pt idx="18">
                  <c:v>2.2999999523162842</c:v>
                </c:pt>
                <c:pt idx="19">
                  <c:v>2.4000000953674316</c:v>
                </c:pt>
                <c:pt idx="20">
                  <c:v>2.5</c:v>
                </c:pt>
              </c:numCache>
            </c:numRef>
          </c:cat>
          <c:val>
            <c:numRef>
              <c:f>'1 Way-Profit per Hawaiian Pizza'!$K$5:$K$25</c:f>
              <c:numCache>
                <c:formatCode>General</c:formatCode>
                <c:ptCount val="21"/>
                <c:pt idx="0">
                  <c:v>377.99998760223389</c:v>
                </c:pt>
                <c:pt idx="1">
                  <c:v>379.99998807907104</c:v>
                </c:pt>
                <c:pt idx="2">
                  <c:v>381.99998736381531</c:v>
                </c:pt>
                <c:pt idx="3">
                  <c:v>383.99998784065247</c:v>
                </c:pt>
                <c:pt idx="4">
                  <c:v>385.99998712539673</c:v>
                </c:pt>
                <c:pt idx="5">
                  <c:v>387.99998760223389</c:v>
                </c:pt>
                <c:pt idx="6">
                  <c:v>389.99998807907104</c:v>
                </c:pt>
                <c:pt idx="7">
                  <c:v>391.9999885559082</c:v>
                </c:pt>
                <c:pt idx="8">
                  <c:v>393.99998664855957</c:v>
                </c:pt>
                <c:pt idx="9">
                  <c:v>395.99998712539673</c:v>
                </c:pt>
                <c:pt idx="10">
                  <c:v>397.99998760223389</c:v>
                </c:pt>
                <c:pt idx="11">
                  <c:v>399.99998807907104</c:v>
                </c:pt>
                <c:pt idx="12">
                  <c:v>401.9999885559082</c:v>
                </c:pt>
                <c:pt idx="13">
                  <c:v>403.99998903274536</c:v>
                </c:pt>
                <c:pt idx="14">
                  <c:v>405.99998712539673</c:v>
                </c:pt>
                <c:pt idx="15">
                  <c:v>407.99998760223389</c:v>
                </c:pt>
                <c:pt idx="16">
                  <c:v>409.9999856948852</c:v>
                </c:pt>
                <c:pt idx="17">
                  <c:v>412.66665617624915</c:v>
                </c:pt>
                <c:pt idx="18">
                  <c:v>415.3333202997843</c:v>
                </c:pt>
                <c:pt idx="19">
                  <c:v>417.9999907811482</c:v>
                </c:pt>
                <c:pt idx="20">
                  <c:v>420.66665490468336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BA-4407-A425-75522A814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647936"/>
        <c:axId val="569648592"/>
      </c:lineChart>
      <c:catAx>
        <c:axId val="569647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Profit per Hawaiian pizza  ($E$9)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69648592"/>
        <c:crosses val="autoZero"/>
        <c:auto val="1"/>
        <c:lblAlgn val="ctr"/>
        <c:lblOffset val="100"/>
        <c:noMultiLvlLbl val="0"/>
      </c:catAx>
      <c:valAx>
        <c:axId val="569648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964793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'2 Way-Stor.capacity vs profit'!$M$1</c:f>
          <c:strCache>
            <c:ptCount val="1"/>
            <c:pt idx="0">
              <c:v>Sensitivity of $D$15 to Max storage capacity per week</c:v>
            </c:pt>
          </c:strCache>
        </c:strRef>
      </c:tx>
      <c:layout>
        <c:manualLayout>
          <c:xMode val="edge"/>
          <c:yMode val="edge"/>
          <c:x val="0.17800377436070058"/>
          <c:y val="5.0071832304550777E-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'2 Way-Stor.capacity vs profit'!$B$4:$K$4</c:f>
              <c:numCache>
                <c:formatCode>General</c:formatCode>
                <c:ptCount val="10"/>
                <c:pt idx="0">
                  <c:v>150</c:v>
                </c:pt>
                <c:pt idx="1">
                  <c:v>170</c:v>
                </c:pt>
                <c:pt idx="2">
                  <c:v>190</c:v>
                </c:pt>
                <c:pt idx="3">
                  <c:v>210</c:v>
                </c:pt>
                <c:pt idx="4">
                  <c:v>230</c:v>
                </c:pt>
                <c:pt idx="5">
                  <c:v>250</c:v>
                </c:pt>
                <c:pt idx="6">
                  <c:v>270</c:v>
                </c:pt>
                <c:pt idx="7">
                  <c:v>290</c:v>
                </c:pt>
                <c:pt idx="8">
                  <c:v>310</c:v>
                </c:pt>
                <c:pt idx="9">
                  <c:v>330</c:v>
                </c:pt>
              </c:numCache>
            </c:numRef>
          </c:cat>
          <c:val>
            <c:numRef>
              <c:f>'2 Way-Stor.capacity vs profit'!$M$5:$M$14</c:f>
              <c:numCache>
                <c:formatCode>General</c:formatCode>
                <c:ptCount val="10"/>
                <c:pt idx="0">
                  <c:v>230.9999942779541</c:v>
                </c:pt>
                <c:pt idx="1">
                  <c:v>272.99999237060547</c:v>
                </c:pt>
                <c:pt idx="2">
                  <c:v>314.99999046325684</c:v>
                </c:pt>
                <c:pt idx="3">
                  <c:v>356.9999885559082</c:v>
                </c:pt>
                <c:pt idx="4">
                  <c:v>382.19998741149902</c:v>
                </c:pt>
                <c:pt idx="5">
                  <c:v>382.19998741149902</c:v>
                </c:pt>
                <c:pt idx="6">
                  <c:v>382.19998741149902</c:v>
                </c:pt>
                <c:pt idx="7">
                  <c:v>382.19998741149902</c:v>
                </c:pt>
                <c:pt idx="8">
                  <c:v>382.19998741149902</c:v>
                </c:pt>
                <c:pt idx="9">
                  <c:v>382.19998741149902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82-47BA-8371-4412D49A9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55055"/>
        <c:axId val="12350479"/>
      </c:lineChart>
      <c:catAx>
        <c:axId val="12355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Maximum storage capacity per week ($E$30)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50479"/>
        <c:crosses val="autoZero"/>
        <c:auto val="1"/>
        <c:lblAlgn val="ctr"/>
        <c:lblOffset val="100"/>
        <c:noMultiLvlLbl val="0"/>
      </c:catAx>
      <c:valAx>
        <c:axId val="12350479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55055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'2 Way-Stor.capacity vs profit'!$Q$1</c:f>
          <c:strCache>
            <c:ptCount val="1"/>
            <c:pt idx="0">
              <c:v>Sensitivity of $D$15 to Profit per Hawaiian pizza 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'2 Way-Stor.capacity vs profit'!$A$5:$A$25</c:f>
              <c:numCache>
                <c:formatCode>0.00</c:formatCode>
                <c:ptCount val="21"/>
                <c:pt idx="0">
                  <c:v>0.5</c:v>
                </c:pt>
                <c:pt idx="1">
                  <c:v>0.60000002384185791</c:v>
                </c:pt>
                <c:pt idx="2">
                  <c:v>0.69999998807907104</c:v>
                </c:pt>
                <c:pt idx="3">
                  <c:v>0.80000001192092896</c:v>
                </c:pt>
                <c:pt idx="4">
                  <c:v>0.89999997615814209</c:v>
                </c:pt>
                <c:pt idx="5">
                  <c:v>1</c:v>
                </c:pt>
                <c:pt idx="6">
                  <c:v>1.1000000238418579</c:v>
                </c:pt>
                <c:pt idx="7">
                  <c:v>1.2000000476837158</c:v>
                </c:pt>
                <c:pt idx="8">
                  <c:v>1.2999999523162842</c:v>
                </c:pt>
                <c:pt idx="9">
                  <c:v>1.3999999761581421</c:v>
                </c:pt>
                <c:pt idx="10">
                  <c:v>1.5</c:v>
                </c:pt>
                <c:pt idx="11">
                  <c:v>1.6000000238418579</c:v>
                </c:pt>
                <c:pt idx="12">
                  <c:v>1.7000000476837158</c:v>
                </c:pt>
                <c:pt idx="13">
                  <c:v>1.8000000715255737</c:v>
                </c:pt>
                <c:pt idx="14">
                  <c:v>1.8999999761581421</c:v>
                </c:pt>
                <c:pt idx="15">
                  <c:v>2</c:v>
                </c:pt>
                <c:pt idx="16">
                  <c:v>2.0999999046325684</c:v>
                </c:pt>
                <c:pt idx="17">
                  <c:v>2.2000000476837158</c:v>
                </c:pt>
                <c:pt idx="18">
                  <c:v>2.2999999523162842</c:v>
                </c:pt>
                <c:pt idx="19">
                  <c:v>2.4000000953674316</c:v>
                </c:pt>
                <c:pt idx="20">
                  <c:v>2.5</c:v>
                </c:pt>
              </c:numCache>
            </c:numRef>
          </c:cat>
          <c:val>
            <c:numRef>
              <c:f>'2 Way-Stor.capacity vs profit'!$Q$5:$Q$25</c:f>
              <c:numCache>
                <c:formatCode>General</c:formatCode>
                <c:ptCount val="21"/>
                <c:pt idx="0">
                  <c:v>230.9999942779541</c:v>
                </c:pt>
                <c:pt idx="1">
                  <c:v>232.99999475479126</c:v>
                </c:pt>
                <c:pt idx="2">
                  <c:v>234.99999403953552</c:v>
                </c:pt>
                <c:pt idx="3">
                  <c:v>236.99999451637268</c:v>
                </c:pt>
                <c:pt idx="4">
                  <c:v>238.99999380111694</c:v>
                </c:pt>
                <c:pt idx="5">
                  <c:v>240.9999942779541</c:v>
                </c:pt>
                <c:pt idx="6">
                  <c:v>242.99999475479126</c:v>
                </c:pt>
                <c:pt idx="7">
                  <c:v>244.99999523162842</c:v>
                </c:pt>
                <c:pt idx="8">
                  <c:v>246.99999332427979</c:v>
                </c:pt>
                <c:pt idx="9">
                  <c:v>248.99999380111694</c:v>
                </c:pt>
                <c:pt idx="10">
                  <c:v>250.9999942779541</c:v>
                </c:pt>
                <c:pt idx="11">
                  <c:v>252.99999475479126</c:v>
                </c:pt>
                <c:pt idx="12">
                  <c:v>254.99999523162842</c:v>
                </c:pt>
                <c:pt idx="13">
                  <c:v>256.99999570846558</c:v>
                </c:pt>
                <c:pt idx="14">
                  <c:v>258.99999380111694</c:v>
                </c:pt>
                <c:pt idx="15">
                  <c:v>260.9999942779541</c:v>
                </c:pt>
                <c:pt idx="16">
                  <c:v>262.99999237060547</c:v>
                </c:pt>
                <c:pt idx="17">
                  <c:v>265.66666285196942</c:v>
                </c:pt>
                <c:pt idx="18">
                  <c:v>268.33332697550458</c:v>
                </c:pt>
                <c:pt idx="19">
                  <c:v>270.99999745686853</c:v>
                </c:pt>
                <c:pt idx="20">
                  <c:v>273.66666158040368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7D-4140-9CEE-DE2386A53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0255"/>
        <c:axId val="1194847"/>
      </c:lineChart>
      <c:catAx>
        <c:axId val="1200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Profit per Hawaiian pizza  ($E$9)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194847"/>
        <c:crosses val="autoZero"/>
        <c:auto val="1"/>
        <c:lblAlgn val="ctr"/>
        <c:lblOffset val="100"/>
        <c:noMultiLvlLbl val="0"/>
      </c:catAx>
      <c:valAx>
        <c:axId val="119484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0255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647700</xdr:colOff>
      <xdr:row>4</xdr:row>
      <xdr:rowOff>31750</xdr:rowOff>
    </xdr:from>
    <xdr:to>
      <xdr:col>19</xdr:col>
      <xdr:colOff>647700</xdr:colOff>
      <xdr:row>19</xdr:row>
      <xdr:rowOff>133350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6584D1B1-5CD9-4366-89C7-C2D4C9510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12</xdr:col>
      <xdr:colOff>50800</xdr:colOff>
      <xdr:row>0</xdr:row>
      <xdr:rowOff>57150</xdr:rowOff>
    </xdr:from>
    <xdr:to>
      <xdr:col>16</xdr:col>
      <xdr:colOff>50800</xdr:colOff>
      <xdr:row>3</xdr:row>
      <xdr:rowOff>311150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3E8C9E7-12F0-4346-B697-37D935A8051D}"/>
            </a:ext>
          </a:extLst>
        </xdr:cNvPr>
        <xdr:cNvSpPr txBox="1"/>
      </xdr:nvSpPr>
      <xdr:spPr>
        <a:xfrm>
          <a:off x="8128000" y="57150"/>
          <a:ext cx="2692400" cy="8255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43180</xdr:colOff>
      <xdr:row>7</xdr:row>
      <xdr:rowOff>88900</xdr:rowOff>
    </xdr:from>
    <xdr:to>
      <xdr:col>20</xdr:col>
      <xdr:colOff>472440</xdr:colOff>
      <xdr:row>23</xdr:row>
      <xdr:rowOff>12700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F939C7E4-94A1-4ADE-85BA-485DA0DDE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579120</xdr:colOff>
      <xdr:row>3</xdr:row>
      <xdr:rowOff>22860</xdr:rowOff>
    </xdr:from>
    <xdr:to>
      <xdr:col>15</xdr:col>
      <xdr:colOff>457200</xdr:colOff>
      <xdr:row>5</xdr:row>
      <xdr:rowOff>175260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AE338F-D843-4D30-97F6-E021D6094907}"/>
            </a:ext>
          </a:extLst>
        </xdr:cNvPr>
        <xdr:cNvSpPr txBox="1"/>
      </xdr:nvSpPr>
      <xdr:spPr>
        <a:xfrm>
          <a:off x="76200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190500</xdr:colOff>
      <xdr:row>4</xdr:row>
      <xdr:rowOff>50800</xdr:rowOff>
    </xdr:from>
    <xdr:to>
      <xdr:col>20</xdr:col>
      <xdr:colOff>190500</xdr:colOff>
      <xdr:row>19</xdr:row>
      <xdr:rowOff>152400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066E94F8-C794-44A3-A9FE-BB18A9317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12</xdr:col>
      <xdr:colOff>203200</xdr:colOff>
      <xdr:row>0</xdr:row>
      <xdr:rowOff>133350</xdr:rowOff>
    </xdr:from>
    <xdr:to>
      <xdr:col>16</xdr:col>
      <xdr:colOff>203200</xdr:colOff>
      <xdr:row>3</xdr:row>
      <xdr:rowOff>387350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F85CEBC-7025-4E7F-ADC7-DB3939443829}"/>
            </a:ext>
          </a:extLst>
        </xdr:cNvPr>
        <xdr:cNvSpPr txBox="1"/>
      </xdr:nvSpPr>
      <xdr:spPr>
        <a:xfrm>
          <a:off x="8280400" y="133350"/>
          <a:ext cx="2692400" cy="8255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513080</xdr:colOff>
      <xdr:row>4</xdr:row>
      <xdr:rowOff>96520</xdr:rowOff>
    </xdr:from>
    <xdr:to>
      <xdr:col>19</xdr:col>
      <xdr:colOff>269240</xdr:colOff>
      <xdr:row>20</xdr:row>
      <xdr:rowOff>20320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A61A6330-229F-41C9-BBCE-8E36CF955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642620</xdr:colOff>
      <xdr:row>0</xdr:row>
      <xdr:rowOff>137160</xdr:rowOff>
    </xdr:from>
    <xdr:to>
      <xdr:col>15</xdr:col>
      <xdr:colOff>520700</xdr:colOff>
      <xdr:row>3</xdr:row>
      <xdr:rowOff>391160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0AA1B7E-F1D0-4734-8005-FD8E3BB5244A}"/>
            </a:ext>
          </a:extLst>
        </xdr:cNvPr>
        <xdr:cNvSpPr txBox="1"/>
      </xdr:nvSpPr>
      <xdr:spPr>
        <a:xfrm>
          <a:off x="8046720" y="137160"/>
          <a:ext cx="2570480" cy="8255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663223</xdr:colOff>
      <xdr:row>26</xdr:row>
      <xdr:rowOff>169333</xdr:rowOff>
    </xdr:from>
    <xdr:to>
      <xdr:col>19</xdr:col>
      <xdr:colOff>663222</xdr:colOff>
      <xdr:row>43</xdr:row>
      <xdr:rowOff>108152</xdr:rowOff>
    </xdr:to>
    <xdr:graphicFrame macro="">
      <xdr:nvGraphicFramePr>
        <xdr:cNvPr id="2" name="STS_8_Chart1">
          <a:extLst>
            <a:ext uri="{FF2B5EF4-FFF2-40B4-BE49-F238E27FC236}">
              <a16:creationId xmlns:a16="http://schemas.microsoft.com/office/drawing/2014/main" id="{DF738B3C-827B-4F27-8813-D0C9CF450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20</xdr:col>
      <xdr:colOff>451556</xdr:colOff>
      <xdr:row>26</xdr:row>
      <xdr:rowOff>112889</xdr:rowOff>
    </xdr:from>
    <xdr:to>
      <xdr:col>28</xdr:col>
      <xdr:colOff>451555</xdr:colOff>
      <xdr:row>43</xdr:row>
      <xdr:rowOff>141110</xdr:rowOff>
    </xdr:to>
    <xdr:graphicFrame macro="">
      <xdr:nvGraphicFramePr>
        <xdr:cNvPr id="3" name="STS_8_Chart2">
          <a:extLst>
            <a:ext uri="{FF2B5EF4-FFF2-40B4-BE49-F238E27FC236}">
              <a16:creationId xmlns:a16="http://schemas.microsoft.com/office/drawing/2014/main" id="{EB77CDAB-B226-456C-892E-3C72423D2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20</xdr:col>
      <xdr:colOff>0</xdr:colOff>
      <xdr:row>3</xdr:row>
      <xdr:rowOff>19050</xdr:rowOff>
    </xdr:from>
    <xdr:to>
      <xdr:col>26</xdr:col>
      <xdr:colOff>0</xdr:colOff>
      <xdr:row>8</xdr:row>
      <xdr:rowOff>187779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0BD2FDC-8E8F-4BC5-A62D-4E76CF128CD9}"/>
            </a:ext>
          </a:extLst>
        </xdr:cNvPr>
        <xdr:cNvSpPr txBox="1"/>
      </xdr:nvSpPr>
      <xdr:spPr>
        <a:xfrm>
          <a:off x="12007850" y="571500"/>
          <a:ext cx="3657600" cy="13335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By making appropriate selections in cells $M$4, $N$4, $Q$4, and $R$4, you can chart any row (in left chart) or column (in right chart) of any table to the left.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5225-D7BC-411F-9DAA-04B0D08B2B7A}">
  <dimension ref="A1:J28"/>
  <sheetViews>
    <sheetView tabSelected="1" topLeftCell="A14" zoomScale="90" zoomScaleNormal="90" workbookViewId="0">
      <selection activeCell="A15" sqref="A15"/>
    </sheetView>
  </sheetViews>
  <sheetFormatPr defaultColWidth="8.85546875" defaultRowHeight="15.75" x14ac:dyDescent="0.25"/>
  <cols>
    <col min="1" max="1" width="56.140625" style="49" customWidth="1"/>
    <col min="2" max="2" width="46.140625" style="49" customWidth="1"/>
    <col min="3" max="3" width="13" style="49" customWidth="1"/>
    <col min="4" max="4" width="14.42578125" style="49" customWidth="1"/>
    <col min="5" max="5" width="17.85546875" style="49" customWidth="1"/>
    <col min="6" max="6" width="23.42578125" style="49" customWidth="1"/>
    <col min="7" max="7" width="15.28515625" style="49" customWidth="1"/>
    <col min="8" max="8" width="16" style="49" customWidth="1"/>
    <col min="9" max="9" width="13.85546875" style="49" customWidth="1"/>
    <col min="10" max="10" width="12.42578125" style="49" customWidth="1"/>
    <col min="11" max="11" width="12.28515625" style="49" customWidth="1"/>
    <col min="12" max="12" width="13" style="49" customWidth="1"/>
    <col min="13" max="16384" width="8.85546875" style="49"/>
  </cols>
  <sheetData>
    <row r="1" spans="1:10" x14ac:dyDescent="0.25">
      <c r="A1" s="48" t="s">
        <v>104</v>
      </c>
    </row>
    <row r="3" spans="1:10" x14ac:dyDescent="0.25">
      <c r="D3" s="50"/>
      <c r="E3" s="75" t="s">
        <v>23</v>
      </c>
      <c r="F3" s="76"/>
    </row>
    <row r="4" spans="1:10" ht="31.5" x14ac:dyDescent="0.25">
      <c r="A4" s="51" t="s">
        <v>95</v>
      </c>
      <c r="B4" s="51"/>
      <c r="D4" s="52" t="s">
        <v>103</v>
      </c>
      <c r="E4" s="52" t="s">
        <v>15</v>
      </c>
      <c r="F4" s="52" t="s">
        <v>9</v>
      </c>
      <c r="G4" s="52" t="s">
        <v>10</v>
      </c>
    </row>
    <row r="5" spans="1:10" ht="87" customHeight="1" x14ac:dyDescent="0.25">
      <c r="A5" s="53" t="s">
        <v>11</v>
      </c>
      <c r="B5" s="54" t="s">
        <v>120</v>
      </c>
      <c r="D5" s="54" t="s">
        <v>120</v>
      </c>
      <c r="E5" s="45">
        <v>3</v>
      </c>
      <c r="F5" s="45">
        <v>7</v>
      </c>
      <c r="G5" s="45">
        <v>1.4</v>
      </c>
    </row>
    <row r="6" spans="1:10" ht="18.75" x14ac:dyDescent="0.25">
      <c r="A6" s="53" t="s">
        <v>12</v>
      </c>
      <c r="B6" s="54" t="s">
        <v>121</v>
      </c>
      <c r="D6" s="54" t="s">
        <v>121</v>
      </c>
      <c r="E6" s="45">
        <v>5</v>
      </c>
      <c r="F6" s="45">
        <v>10</v>
      </c>
      <c r="G6" s="45">
        <v>2.0999999046325684</v>
      </c>
    </row>
    <row r="7" spans="1:10" ht="18.75" x14ac:dyDescent="0.25">
      <c r="A7" s="53" t="s">
        <v>13</v>
      </c>
      <c r="B7" s="54" t="s">
        <v>122</v>
      </c>
      <c r="D7" s="54" t="s">
        <v>122</v>
      </c>
      <c r="E7" s="45">
        <v>4</v>
      </c>
      <c r="F7" s="45">
        <v>8</v>
      </c>
      <c r="G7" s="45">
        <v>1.5</v>
      </c>
    </row>
    <row r="8" spans="1:10" ht="18.75" x14ac:dyDescent="0.25">
      <c r="A8" s="53" t="s">
        <v>38</v>
      </c>
      <c r="B8" s="54" t="s">
        <v>123</v>
      </c>
      <c r="D8" s="54" t="s">
        <v>123</v>
      </c>
      <c r="E8" s="45">
        <v>4</v>
      </c>
      <c r="F8" s="45">
        <v>8</v>
      </c>
      <c r="G8" s="45">
        <v>1.3</v>
      </c>
    </row>
    <row r="9" spans="1:10" ht="47.25" x14ac:dyDescent="0.25">
      <c r="D9" s="55" t="s">
        <v>37</v>
      </c>
      <c r="E9" s="56">
        <v>1200</v>
      </c>
      <c r="F9" s="56">
        <v>2000</v>
      </c>
      <c r="G9" s="50"/>
    </row>
    <row r="11" spans="1:10" ht="17.25" x14ac:dyDescent="0.25">
      <c r="A11" s="52" t="s">
        <v>96</v>
      </c>
      <c r="B11" s="57" t="s">
        <v>124</v>
      </c>
    </row>
    <row r="12" spans="1:10" x14ac:dyDescent="0.25">
      <c r="D12" s="72" t="s">
        <v>24</v>
      </c>
      <c r="E12" s="73"/>
      <c r="F12" s="73"/>
      <c r="G12" s="73"/>
      <c r="H12" s="73"/>
      <c r="I12" s="73"/>
      <c r="J12" s="74"/>
    </row>
    <row r="13" spans="1:10" ht="31.5" x14ac:dyDescent="0.25">
      <c r="D13" s="58" t="s">
        <v>103</v>
      </c>
      <c r="E13" s="58" t="s">
        <v>20</v>
      </c>
      <c r="F13" s="58" t="s">
        <v>17</v>
      </c>
      <c r="G13" s="58" t="s">
        <v>18</v>
      </c>
      <c r="H13" s="58" t="s">
        <v>16</v>
      </c>
      <c r="I13" s="58" t="s">
        <v>19</v>
      </c>
      <c r="J13" s="58" t="s">
        <v>25</v>
      </c>
    </row>
    <row r="14" spans="1:10" ht="18.75" x14ac:dyDescent="0.25">
      <c r="A14" s="59" t="s">
        <v>0</v>
      </c>
      <c r="D14" s="54" t="s">
        <v>120</v>
      </c>
      <c r="E14" s="46">
        <v>5</v>
      </c>
      <c r="F14" s="47">
        <v>3</v>
      </c>
      <c r="G14" s="47">
        <v>5</v>
      </c>
      <c r="H14" s="47">
        <v>0</v>
      </c>
      <c r="I14" s="47">
        <v>0</v>
      </c>
      <c r="J14" s="47">
        <v>0</v>
      </c>
    </row>
    <row r="15" spans="1:10" ht="18.75" x14ac:dyDescent="0.25">
      <c r="A15" s="60" t="s">
        <v>148</v>
      </c>
      <c r="B15" s="49" t="s">
        <v>125</v>
      </c>
      <c r="D15" s="54" t="s">
        <v>121</v>
      </c>
      <c r="E15" s="46">
        <v>5</v>
      </c>
      <c r="F15" s="47">
        <v>3</v>
      </c>
      <c r="G15" s="47">
        <v>3</v>
      </c>
      <c r="H15" s="47">
        <v>4</v>
      </c>
      <c r="I15" s="47">
        <v>3</v>
      </c>
      <c r="J15" s="47">
        <v>0</v>
      </c>
    </row>
    <row r="16" spans="1:10" ht="18.75" x14ac:dyDescent="0.25">
      <c r="A16" s="60" t="s">
        <v>149</v>
      </c>
      <c r="B16" s="49" t="s">
        <v>126</v>
      </c>
      <c r="D16" s="54" t="s">
        <v>122</v>
      </c>
      <c r="E16" s="47">
        <v>5</v>
      </c>
      <c r="F16" s="47">
        <v>3</v>
      </c>
      <c r="G16" s="47">
        <v>3</v>
      </c>
      <c r="H16" s="47">
        <v>3</v>
      </c>
      <c r="I16" s="47">
        <v>3</v>
      </c>
      <c r="J16" s="47">
        <v>3</v>
      </c>
    </row>
    <row r="17" spans="1:10" ht="18.75" x14ac:dyDescent="0.25">
      <c r="A17" s="60" t="s">
        <v>138</v>
      </c>
      <c r="B17" s="49" t="s">
        <v>127</v>
      </c>
      <c r="D17" s="54" t="s">
        <v>123</v>
      </c>
      <c r="E17" s="47">
        <v>5</v>
      </c>
      <c r="F17" s="47">
        <v>3</v>
      </c>
      <c r="G17" s="47">
        <v>3</v>
      </c>
      <c r="H17" s="47">
        <v>0</v>
      </c>
      <c r="I17" s="47">
        <v>5</v>
      </c>
      <c r="J17" s="47">
        <v>0</v>
      </c>
    </row>
    <row r="18" spans="1:10" ht="47.25" x14ac:dyDescent="0.25">
      <c r="A18" s="60" t="s">
        <v>139</v>
      </c>
      <c r="B18" s="49" t="s">
        <v>128</v>
      </c>
      <c r="D18" s="61" t="s">
        <v>94</v>
      </c>
      <c r="E18" s="50">
        <v>1500</v>
      </c>
      <c r="F18" s="50">
        <v>800</v>
      </c>
      <c r="G18" s="50">
        <v>900</v>
      </c>
      <c r="H18" s="50">
        <v>640</v>
      </c>
      <c r="I18" s="50">
        <v>640</v>
      </c>
      <c r="J18" s="50">
        <v>80</v>
      </c>
    </row>
    <row r="19" spans="1:10" ht="17.25" x14ac:dyDescent="0.25">
      <c r="A19" s="60" t="s">
        <v>140</v>
      </c>
      <c r="B19" s="49" t="s">
        <v>129</v>
      </c>
      <c r="D19" s="62"/>
      <c r="E19" s="63"/>
      <c r="F19" s="63"/>
      <c r="G19" s="63"/>
      <c r="H19" s="63"/>
      <c r="I19" s="63"/>
      <c r="J19" s="63"/>
    </row>
    <row r="20" spans="1:10" ht="17.25" x14ac:dyDescent="0.25">
      <c r="A20" s="60" t="s">
        <v>141</v>
      </c>
      <c r="B20" s="49" t="s">
        <v>130</v>
      </c>
    </row>
    <row r="21" spans="1:10" ht="17.25" x14ac:dyDescent="0.25">
      <c r="A21" s="60" t="s">
        <v>30</v>
      </c>
      <c r="B21" s="49" t="s">
        <v>132</v>
      </c>
    </row>
    <row r="22" spans="1:10" ht="17.25" x14ac:dyDescent="0.25">
      <c r="A22" s="60" t="s">
        <v>31</v>
      </c>
      <c r="B22" s="49" t="s">
        <v>133</v>
      </c>
      <c r="J22" s="64"/>
    </row>
    <row r="23" spans="1:10" ht="17.25" x14ac:dyDescent="0.25">
      <c r="A23" s="60" t="s">
        <v>32</v>
      </c>
      <c r="B23" s="49" t="s">
        <v>134</v>
      </c>
      <c r="J23" s="64"/>
    </row>
    <row r="24" spans="1:10" ht="17.25" x14ac:dyDescent="0.25">
      <c r="A24" s="60" t="s">
        <v>21</v>
      </c>
      <c r="B24" s="49" t="s">
        <v>135</v>
      </c>
      <c r="J24" s="64"/>
    </row>
    <row r="25" spans="1:10" ht="17.25" x14ac:dyDescent="0.25">
      <c r="A25" s="60" t="s">
        <v>22</v>
      </c>
      <c r="B25" s="49" t="s">
        <v>136</v>
      </c>
      <c r="J25" s="63"/>
    </row>
    <row r="26" spans="1:10" ht="17.25" x14ac:dyDescent="0.25">
      <c r="A26" s="60" t="s">
        <v>26</v>
      </c>
      <c r="B26" s="49" t="s">
        <v>137</v>
      </c>
    </row>
    <row r="27" spans="1:10" ht="31.5" x14ac:dyDescent="0.25">
      <c r="A27" s="65" t="s">
        <v>108</v>
      </c>
      <c r="B27" s="49" t="s">
        <v>131</v>
      </c>
    </row>
    <row r="28" spans="1:10" ht="17.25" x14ac:dyDescent="0.25">
      <c r="A28" s="65" t="s">
        <v>142</v>
      </c>
      <c r="B28" s="49" t="s">
        <v>146</v>
      </c>
    </row>
  </sheetData>
  <mergeCells count="2">
    <mergeCell ref="D12:J12"/>
    <mergeCell ref="E3:F3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895A-510C-BE4A-A054-EE5F3EEC3731}">
  <dimension ref="A2:M35"/>
  <sheetViews>
    <sheetView topLeftCell="A15" zoomScale="90" zoomScaleNormal="90" workbookViewId="0">
      <selection activeCell="C30" sqref="C30"/>
    </sheetView>
  </sheetViews>
  <sheetFormatPr defaultColWidth="8.85546875" defaultRowHeight="18.75" x14ac:dyDescent="0.3"/>
  <cols>
    <col min="1" max="1" width="6.7109375" style="27" customWidth="1"/>
    <col min="2" max="2" width="64.42578125" style="27" customWidth="1"/>
    <col min="3" max="3" width="11.42578125" style="27" customWidth="1"/>
    <col min="4" max="4" width="16.42578125" style="27" customWidth="1"/>
    <col min="5" max="5" width="12.42578125" style="27" customWidth="1"/>
    <col min="6" max="6" width="14.7109375" style="27" customWidth="1"/>
    <col min="7" max="7" width="14.28515625" style="27" customWidth="1"/>
    <col min="8" max="8" width="14.7109375" style="27" customWidth="1"/>
    <col min="9" max="9" width="13.42578125" style="27" customWidth="1"/>
    <col min="10" max="10" width="14.42578125" style="27" customWidth="1"/>
    <col min="11" max="11" width="14.140625" style="27" customWidth="1"/>
    <col min="12" max="12" width="11.42578125" style="27" customWidth="1"/>
    <col min="13" max="13" width="14.28515625" style="27" customWidth="1"/>
    <col min="14" max="14" width="11" style="27" customWidth="1"/>
    <col min="15" max="16384" width="8.85546875" style="27"/>
  </cols>
  <sheetData>
    <row r="2" spans="1:13" x14ac:dyDescent="0.3">
      <c r="A2" s="26" t="s">
        <v>29</v>
      </c>
    </row>
    <row r="3" spans="1:13" x14ac:dyDescent="0.3">
      <c r="A3" s="26"/>
    </row>
    <row r="4" spans="1:13" x14ac:dyDescent="0.3">
      <c r="A4" s="26"/>
    </row>
    <row r="5" spans="1:13" x14ac:dyDescent="0.3">
      <c r="F5" s="77" t="s">
        <v>23</v>
      </c>
      <c r="G5" s="78"/>
      <c r="H5" s="77" t="s">
        <v>24</v>
      </c>
      <c r="I5" s="79"/>
      <c r="J5" s="79"/>
      <c r="K5" s="79"/>
      <c r="L5" s="79"/>
      <c r="M5" s="78"/>
    </row>
    <row r="6" spans="1:13" ht="56.25" x14ac:dyDescent="0.3">
      <c r="B6" s="28" t="s">
        <v>1</v>
      </c>
      <c r="C6" s="28"/>
      <c r="D6" s="29" t="s">
        <v>14</v>
      </c>
      <c r="E6" s="29" t="s">
        <v>10</v>
      </c>
      <c r="F6" s="29" t="s">
        <v>15</v>
      </c>
      <c r="G6" s="29" t="s">
        <v>9</v>
      </c>
      <c r="H6" s="29" t="s">
        <v>27</v>
      </c>
      <c r="I6" s="29" t="s">
        <v>28</v>
      </c>
      <c r="J6" s="29" t="s">
        <v>33</v>
      </c>
      <c r="K6" s="29" t="s">
        <v>34</v>
      </c>
      <c r="L6" s="29" t="s">
        <v>35</v>
      </c>
      <c r="M6" s="29" t="s">
        <v>36</v>
      </c>
    </row>
    <row r="7" spans="1:13" x14ac:dyDescent="0.3">
      <c r="B7" s="30" t="s">
        <v>11</v>
      </c>
      <c r="C7" s="25" t="s">
        <v>120</v>
      </c>
      <c r="D7" s="31">
        <v>40</v>
      </c>
      <c r="E7" s="32">
        <v>1.4</v>
      </c>
      <c r="F7" s="32">
        <v>3</v>
      </c>
      <c r="G7" s="32">
        <v>7</v>
      </c>
      <c r="H7" s="33">
        <v>5</v>
      </c>
      <c r="I7" s="34">
        <v>3</v>
      </c>
      <c r="J7" s="34">
        <v>5</v>
      </c>
      <c r="K7" s="34">
        <v>0</v>
      </c>
      <c r="L7" s="34">
        <v>0</v>
      </c>
      <c r="M7" s="34">
        <v>0</v>
      </c>
    </row>
    <row r="8" spans="1:13" x14ac:dyDescent="0.3">
      <c r="B8" s="30" t="s">
        <v>12</v>
      </c>
      <c r="C8" s="25" t="s">
        <v>121</v>
      </c>
      <c r="D8" s="31">
        <v>130</v>
      </c>
      <c r="E8" s="32">
        <v>2.0999999046325684</v>
      </c>
      <c r="F8" s="32">
        <v>5</v>
      </c>
      <c r="G8" s="32">
        <v>10</v>
      </c>
      <c r="H8" s="33">
        <v>5</v>
      </c>
      <c r="I8" s="34">
        <v>3</v>
      </c>
      <c r="J8" s="34">
        <v>3</v>
      </c>
      <c r="K8" s="34">
        <v>4</v>
      </c>
      <c r="L8" s="34">
        <v>3</v>
      </c>
      <c r="M8" s="34">
        <v>0</v>
      </c>
    </row>
    <row r="9" spans="1:13" x14ac:dyDescent="0.3">
      <c r="B9" s="30" t="s">
        <v>13</v>
      </c>
      <c r="C9" s="25" t="s">
        <v>122</v>
      </c>
      <c r="D9" s="31">
        <v>20</v>
      </c>
      <c r="E9" s="32">
        <v>1.5</v>
      </c>
      <c r="F9" s="32">
        <v>4</v>
      </c>
      <c r="G9" s="32">
        <v>8</v>
      </c>
      <c r="H9" s="34">
        <v>5</v>
      </c>
      <c r="I9" s="34">
        <v>3</v>
      </c>
      <c r="J9" s="34">
        <v>3</v>
      </c>
      <c r="K9" s="34">
        <v>3</v>
      </c>
      <c r="L9" s="34">
        <v>3</v>
      </c>
      <c r="M9" s="34">
        <v>3</v>
      </c>
    </row>
    <row r="10" spans="1:13" x14ac:dyDescent="0.3">
      <c r="B10" s="30" t="s">
        <v>38</v>
      </c>
      <c r="C10" s="25" t="s">
        <v>123</v>
      </c>
      <c r="D10" s="31">
        <v>30</v>
      </c>
      <c r="E10" s="32">
        <v>1.3</v>
      </c>
      <c r="F10" s="32">
        <v>4</v>
      </c>
      <c r="G10" s="32">
        <v>8</v>
      </c>
      <c r="H10" s="34">
        <v>5</v>
      </c>
      <c r="I10" s="34">
        <v>3</v>
      </c>
      <c r="J10" s="34">
        <v>3</v>
      </c>
      <c r="K10" s="34">
        <v>0</v>
      </c>
      <c r="L10" s="34">
        <v>5</v>
      </c>
      <c r="M10" s="34">
        <v>0</v>
      </c>
    </row>
    <row r="11" spans="1:13" x14ac:dyDescent="0.3">
      <c r="B11" s="30"/>
      <c r="C11" s="30"/>
      <c r="D11" s="31"/>
      <c r="E11" s="32"/>
      <c r="F11" s="32"/>
      <c r="G11" s="32"/>
      <c r="H11" s="34"/>
      <c r="I11" s="34"/>
      <c r="J11" s="34"/>
      <c r="K11" s="34"/>
      <c r="L11" s="34"/>
      <c r="M11" s="34"/>
    </row>
    <row r="12" spans="1:13" x14ac:dyDescent="0.3">
      <c r="B12" s="30"/>
      <c r="C12" s="30" t="s">
        <v>147</v>
      </c>
      <c r="D12" s="31">
        <f>SUM(D7:D10)</f>
        <v>220</v>
      </c>
      <c r="E12" s="32"/>
      <c r="F12" s="32"/>
      <c r="G12" s="32"/>
      <c r="H12" s="34"/>
      <c r="I12" s="34"/>
      <c r="J12" s="34"/>
      <c r="K12" s="34"/>
      <c r="L12" s="34"/>
      <c r="M12" s="34"/>
    </row>
    <row r="15" spans="1:13" x14ac:dyDescent="0.3">
      <c r="B15" s="35" t="s">
        <v>150</v>
      </c>
      <c r="D15" s="36">
        <f>SUMPRODUCT(D7:D10,E7:E10)</f>
        <v>397.99998760223389</v>
      </c>
    </row>
    <row r="17" spans="2:13" x14ac:dyDescent="0.3">
      <c r="B17" s="37" t="s">
        <v>0</v>
      </c>
      <c r="C17" s="38" t="s">
        <v>2</v>
      </c>
      <c r="D17" s="38"/>
      <c r="E17" s="38" t="s">
        <v>3</v>
      </c>
    </row>
    <row r="18" spans="2:13" x14ac:dyDescent="0.3">
      <c r="B18" s="23" t="s">
        <v>148</v>
      </c>
      <c r="C18" s="39">
        <f>SUMPRODUCT(F7:F10,D7:D10)</f>
        <v>970</v>
      </c>
      <c r="D18" s="38" t="s">
        <v>5</v>
      </c>
      <c r="E18" s="39">
        <v>1200</v>
      </c>
    </row>
    <row r="19" spans="2:13" x14ac:dyDescent="0.3">
      <c r="B19" s="23" t="s">
        <v>149</v>
      </c>
      <c r="C19" s="39">
        <f>SUMPRODUCT(G7:G10,D7:D10)</f>
        <v>1980</v>
      </c>
      <c r="D19" s="38" t="s">
        <v>5</v>
      </c>
      <c r="E19" s="39">
        <v>2000</v>
      </c>
    </row>
    <row r="20" spans="2:13" x14ac:dyDescent="0.3">
      <c r="B20" s="23" t="s">
        <v>138</v>
      </c>
      <c r="C20" s="39">
        <f>D7</f>
        <v>40</v>
      </c>
      <c r="D20" s="38" t="s">
        <v>4</v>
      </c>
      <c r="E20" s="40">
        <v>40</v>
      </c>
    </row>
    <row r="21" spans="2:13" x14ac:dyDescent="0.3">
      <c r="B21" s="23" t="s">
        <v>139</v>
      </c>
      <c r="C21" s="39">
        <f>D8</f>
        <v>130</v>
      </c>
      <c r="D21" s="38" t="s">
        <v>4</v>
      </c>
      <c r="E21" s="40">
        <v>40</v>
      </c>
    </row>
    <row r="22" spans="2:13" x14ac:dyDescent="0.3">
      <c r="B22" s="23" t="s">
        <v>140</v>
      </c>
      <c r="C22" s="39">
        <f>D9</f>
        <v>20</v>
      </c>
      <c r="D22" s="38" t="s">
        <v>4</v>
      </c>
      <c r="E22" s="40">
        <v>20</v>
      </c>
    </row>
    <row r="23" spans="2:13" x14ac:dyDescent="0.3">
      <c r="B23" s="23" t="s">
        <v>141</v>
      </c>
      <c r="C23" s="39">
        <f>D10</f>
        <v>30</v>
      </c>
      <c r="D23" s="38" t="s">
        <v>4</v>
      </c>
      <c r="E23" s="40">
        <v>30</v>
      </c>
    </row>
    <row r="24" spans="2:13" x14ac:dyDescent="0.3">
      <c r="B24" s="23" t="s">
        <v>30</v>
      </c>
      <c r="C24" s="39" cm="1">
        <f t="array" ref="C24">SUMPRODUCT(D7:D10*H7:H10)</f>
        <v>1100</v>
      </c>
      <c r="D24" s="38" t="s">
        <v>5</v>
      </c>
      <c r="E24" s="40">
        <v>1500</v>
      </c>
    </row>
    <row r="25" spans="2:13" x14ac:dyDescent="0.3">
      <c r="B25" s="23" t="s">
        <v>31</v>
      </c>
      <c r="C25" s="39" cm="1">
        <f t="array" ref="C25">SUMPRODUCT(D7:D10*I7:I10)</f>
        <v>660</v>
      </c>
      <c r="D25" s="38" t="s">
        <v>5</v>
      </c>
      <c r="E25" s="40">
        <v>800</v>
      </c>
    </row>
    <row r="26" spans="2:13" x14ac:dyDescent="0.3">
      <c r="B26" s="23" t="s">
        <v>32</v>
      </c>
      <c r="C26" s="39" cm="1">
        <f t="array" ref="C26">SUMPRODUCT(D7:D10*J7:J10)</f>
        <v>740</v>
      </c>
      <c r="D26" s="38" t="s">
        <v>5</v>
      </c>
      <c r="E26" s="39">
        <v>900</v>
      </c>
    </row>
    <row r="27" spans="2:13" x14ac:dyDescent="0.3">
      <c r="B27" s="23" t="s">
        <v>21</v>
      </c>
      <c r="C27" s="39" cm="1">
        <f t="array" ref="C27">SUMPRODUCT(D7:D10*K7:K10)</f>
        <v>580</v>
      </c>
      <c r="D27" s="38" t="s">
        <v>5</v>
      </c>
      <c r="E27" s="40">
        <v>640</v>
      </c>
    </row>
    <row r="28" spans="2:13" ht="15" customHeight="1" x14ac:dyDescent="0.3">
      <c r="B28" s="23" t="s">
        <v>22</v>
      </c>
      <c r="C28" s="39" cm="1">
        <f t="array" ref="C28">SUMPRODUCT(D7:D10*L7:L10)</f>
        <v>600</v>
      </c>
      <c r="D28" s="38" t="s">
        <v>5</v>
      </c>
      <c r="E28" s="40">
        <v>640</v>
      </c>
    </row>
    <row r="29" spans="2:13" x14ac:dyDescent="0.3">
      <c r="B29" s="23" t="s">
        <v>26</v>
      </c>
      <c r="C29" s="66" cm="1">
        <f t="array" ref="C29">SUMPRODUCT(D7:D10*M7:M10)</f>
        <v>60</v>
      </c>
      <c r="D29" s="67" t="s">
        <v>5</v>
      </c>
      <c r="E29" s="41">
        <v>80</v>
      </c>
    </row>
    <row r="30" spans="2:13" ht="31.5" x14ac:dyDescent="0.3">
      <c r="B30" s="24" t="s">
        <v>108</v>
      </c>
      <c r="C30" s="68">
        <f>SUM(D7:D10)</f>
        <v>220</v>
      </c>
      <c r="D30" s="42" t="s">
        <v>5</v>
      </c>
      <c r="E30" s="69">
        <v>220</v>
      </c>
      <c r="M30" s="43"/>
    </row>
    <row r="31" spans="2:13" x14ac:dyDescent="0.3">
      <c r="M31" s="43"/>
    </row>
    <row r="32" spans="2:13" x14ac:dyDescent="0.3">
      <c r="M32" s="43"/>
    </row>
    <row r="33" spans="8:13" x14ac:dyDescent="0.3">
      <c r="M33" s="43"/>
    </row>
    <row r="34" spans="8:13" x14ac:dyDescent="0.3">
      <c r="M34" s="43"/>
    </row>
    <row r="35" spans="8:13" x14ac:dyDescent="0.3">
      <c r="H35" s="43"/>
      <c r="I35" s="44"/>
      <c r="J35" s="44"/>
      <c r="K35" s="44"/>
      <c r="L35" s="44"/>
    </row>
  </sheetData>
  <mergeCells count="2">
    <mergeCell ref="F5:G5"/>
    <mergeCell ref="H5:M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9C9B-B865-FA47-AB6F-4AD7D7187E47}">
  <dimension ref="A1:H29"/>
  <sheetViews>
    <sheetView showGridLines="0" workbookViewId="0">
      <selection activeCell="J14" sqref="J14"/>
    </sheetView>
  </sheetViews>
  <sheetFormatPr defaultColWidth="10.85546875" defaultRowHeight="15" x14ac:dyDescent="0.25"/>
  <cols>
    <col min="1" max="1" width="2.28515625" customWidth="1"/>
    <col min="2" max="2" width="6.28515625" bestFit="1" customWidth="1"/>
    <col min="3" max="3" width="66.7109375" bestFit="1" customWidth="1"/>
    <col min="4" max="4" width="5.7109375" bestFit="1" customWidth="1"/>
    <col min="5" max="5" width="8" bestFit="1" customWidth="1"/>
    <col min="6" max="6" width="9.7109375" bestFit="1" customWidth="1"/>
    <col min="7" max="8" width="12.140625" bestFit="1" customWidth="1"/>
  </cols>
  <sheetData>
    <row r="1" spans="1:8" x14ac:dyDescent="0.25">
      <c r="A1" s="2" t="s">
        <v>109</v>
      </c>
    </row>
    <row r="2" spans="1:8" x14ac:dyDescent="0.25">
      <c r="A2" s="2" t="s">
        <v>110</v>
      </c>
    </row>
    <row r="3" spans="1:8" x14ac:dyDescent="0.25">
      <c r="A3" s="2" t="s">
        <v>111</v>
      </c>
    </row>
    <row r="6" spans="1:8" ht="15.75" thickBot="1" x14ac:dyDescent="0.3">
      <c r="A6" t="s">
        <v>39</v>
      </c>
    </row>
    <row r="7" spans="1:8" x14ac:dyDescent="0.25">
      <c r="B7" s="21"/>
      <c r="C7" s="21"/>
      <c r="D7" s="21" t="s">
        <v>42</v>
      </c>
      <c r="E7" s="21" t="s">
        <v>44</v>
      </c>
      <c r="F7" s="21" t="s">
        <v>46</v>
      </c>
      <c r="G7" s="21" t="s">
        <v>48</v>
      </c>
      <c r="H7" s="21" t="s">
        <v>48</v>
      </c>
    </row>
    <row r="8" spans="1:8" ht="15.75" thickBot="1" x14ac:dyDescent="0.3">
      <c r="B8" s="22" t="s">
        <v>40</v>
      </c>
      <c r="C8" s="22" t="s">
        <v>41</v>
      </c>
      <c r="D8" s="22" t="s">
        <v>43</v>
      </c>
      <c r="E8" s="22" t="s">
        <v>45</v>
      </c>
      <c r="F8" s="22" t="s">
        <v>47</v>
      </c>
      <c r="G8" s="22" t="s">
        <v>49</v>
      </c>
      <c r="H8" s="22" t="s">
        <v>50</v>
      </c>
    </row>
    <row r="9" spans="1:8" x14ac:dyDescent="0.25">
      <c r="B9" s="3" t="s">
        <v>55</v>
      </c>
      <c r="C9" s="3" t="s">
        <v>97</v>
      </c>
      <c r="D9" s="3">
        <v>40</v>
      </c>
      <c r="E9" s="3">
        <v>0</v>
      </c>
      <c r="F9" s="3">
        <v>1.4</v>
      </c>
      <c r="G9" s="3">
        <v>0.70000000000000018</v>
      </c>
      <c r="H9" s="3">
        <v>1E+30</v>
      </c>
    </row>
    <row r="10" spans="1:8" x14ac:dyDescent="0.25">
      <c r="B10" s="3" t="s">
        <v>56</v>
      </c>
      <c r="C10" s="3" t="s">
        <v>98</v>
      </c>
      <c r="D10" s="3">
        <v>130</v>
      </c>
      <c r="E10" s="3">
        <v>0</v>
      </c>
      <c r="F10" s="3">
        <v>2.1</v>
      </c>
      <c r="G10" s="3">
        <v>1E+30</v>
      </c>
      <c r="H10" s="3">
        <v>0.60000000000000009</v>
      </c>
    </row>
    <row r="11" spans="1:8" x14ac:dyDescent="0.25">
      <c r="B11" s="3" t="s">
        <v>57</v>
      </c>
      <c r="C11" s="3" t="s">
        <v>99</v>
      </c>
      <c r="D11" s="3">
        <v>20</v>
      </c>
      <c r="E11" s="3">
        <v>0</v>
      </c>
      <c r="F11" s="3">
        <v>1.5</v>
      </c>
      <c r="G11" s="3">
        <v>0.60000000000000009</v>
      </c>
      <c r="H11" s="3">
        <v>1E+30</v>
      </c>
    </row>
    <row r="12" spans="1:8" ht="15.75" thickBot="1" x14ac:dyDescent="0.3">
      <c r="B12" s="4" t="s">
        <v>58</v>
      </c>
      <c r="C12" s="4" t="s">
        <v>100</v>
      </c>
      <c r="D12" s="4">
        <v>30</v>
      </c>
      <c r="E12" s="4">
        <v>0</v>
      </c>
      <c r="F12" s="4">
        <v>1.2999999999999998</v>
      </c>
      <c r="G12" s="4">
        <v>0.80000000000000027</v>
      </c>
      <c r="H12" s="4">
        <v>1E+30</v>
      </c>
    </row>
    <row r="14" spans="1:8" ht="15.75" thickBot="1" x14ac:dyDescent="0.3">
      <c r="A14" t="s">
        <v>0</v>
      </c>
    </row>
    <row r="15" spans="1:8" x14ac:dyDescent="0.25">
      <c r="B15" s="21"/>
      <c r="C15" s="21"/>
      <c r="D15" s="21" t="s">
        <v>42</v>
      </c>
      <c r="E15" s="21" t="s">
        <v>51</v>
      </c>
      <c r="F15" s="21" t="s">
        <v>53</v>
      </c>
      <c r="G15" s="21" t="s">
        <v>48</v>
      </c>
      <c r="H15" s="21" t="s">
        <v>48</v>
      </c>
    </row>
    <row r="16" spans="1:8" ht="15.75" thickBot="1" x14ac:dyDescent="0.3">
      <c r="B16" s="22" t="s">
        <v>40</v>
      </c>
      <c r="C16" s="22" t="s">
        <v>41</v>
      </c>
      <c r="D16" s="22" t="s">
        <v>43</v>
      </c>
      <c r="E16" s="22" t="s">
        <v>52</v>
      </c>
      <c r="F16" s="22" t="s">
        <v>54</v>
      </c>
      <c r="G16" s="22" t="s">
        <v>49</v>
      </c>
      <c r="H16" s="22" t="s">
        <v>50</v>
      </c>
    </row>
    <row r="17" spans="2:8" x14ac:dyDescent="0.25">
      <c r="B17" s="3" t="s">
        <v>59</v>
      </c>
      <c r="C17" s="3" t="s">
        <v>60</v>
      </c>
      <c r="D17" s="3">
        <v>970</v>
      </c>
      <c r="E17" s="3">
        <v>0</v>
      </c>
      <c r="F17" s="3">
        <v>1200</v>
      </c>
      <c r="G17" s="3">
        <v>1E+30</v>
      </c>
      <c r="H17" s="3">
        <v>230</v>
      </c>
    </row>
    <row r="18" spans="2:8" x14ac:dyDescent="0.25">
      <c r="B18" s="3" t="s">
        <v>61</v>
      </c>
      <c r="C18" s="3" t="s">
        <v>62</v>
      </c>
      <c r="D18" s="3">
        <v>1980</v>
      </c>
      <c r="E18" s="3">
        <v>0</v>
      </c>
      <c r="F18" s="3">
        <v>2000</v>
      </c>
      <c r="G18" s="3">
        <v>1E+30</v>
      </c>
      <c r="H18" s="3">
        <v>20</v>
      </c>
    </row>
    <row r="19" spans="2:8" x14ac:dyDescent="0.25">
      <c r="B19" s="3" t="s">
        <v>63</v>
      </c>
      <c r="C19" s="3" t="s">
        <v>64</v>
      </c>
      <c r="D19" s="3">
        <v>40</v>
      </c>
      <c r="E19" s="70">
        <v>-0.70000000000000018</v>
      </c>
      <c r="F19" s="3">
        <v>40</v>
      </c>
      <c r="G19" s="3">
        <v>80</v>
      </c>
      <c r="H19" s="3">
        <v>6.666666666666667</v>
      </c>
    </row>
    <row r="20" spans="2:8" x14ac:dyDescent="0.25">
      <c r="B20" s="3" t="s">
        <v>65</v>
      </c>
      <c r="C20" s="3" t="s">
        <v>66</v>
      </c>
      <c r="D20" s="3">
        <v>130</v>
      </c>
      <c r="E20" s="3">
        <v>0</v>
      </c>
      <c r="F20" s="3">
        <v>40</v>
      </c>
      <c r="G20" s="3">
        <v>90</v>
      </c>
      <c r="H20" s="3">
        <v>1E+30</v>
      </c>
    </row>
    <row r="21" spans="2:8" x14ac:dyDescent="0.25">
      <c r="B21" s="3" t="s">
        <v>67</v>
      </c>
      <c r="C21" s="3" t="s">
        <v>68</v>
      </c>
      <c r="D21" s="3">
        <v>20</v>
      </c>
      <c r="E21" s="70">
        <v>-0.60000000000000009</v>
      </c>
      <c r="F21" s="3">
        <v>20</v>
      </c>
      <c r="G21" s="3">
        <v>6.666666666666667</v>
      </c>
      <c r="H21" s="3">
        <v>10</v>
      </c>
    </row>
    <row r="22" spans="2:8" x14ac:dyDescent="0.25">
      <c r="B22" s="3" t="s">
        <v>69</v>
      </c>
      <c r="C22" s="3" t="s">
        <v>70</v>
      </c>
      <c r="D22" s="3">
        <v>30</v>
      </c>
      <c r="E22" s="70">
        <v>-0.80000000000000027</v>
      </c>
      <c r="F22" s="3">
        <v>30</v>
      </c>
      <c r="G22" s="3">
        <v>20</v>
      </c>
      <c r="H22" s="3">
        <v>10</v>
      </c>
    </row>
    <row r="23" spans="2:8" x14ac:dyDescent="0.25">
      <c r="B23" s="3" t="s">
        <v>71</v>
      </c>
      <c r="C23" s="3" t="s">
        <v>72</v>
      </c>
      <c r="D23" s="3">
        <v>1100</v>
      </c>
      <c r="E23" s="3">
        <v>0</v>
      </c>
      <c r="F23" s="3">
        <v>1500</v>
      </c>
      <c r="G23" s="3">
        <v>1E+30</v>
      </c>
      <c r="H23" s="3">
        <v>400</v>
      </c>
    </row>
    <row r="24" spans="2:8" x14ac:dyDescent="0.25">
      <c r="B24" s="3" t="s">
        <v>73</v>
      </c>
      <c r="C24" s="3" t="s">
        <v>74</v>
      </c>
      <c r="D24" s="3">
        <v>660</v>
      </c>
      <c r="E24" s="3">
        <v>0</v>
      </c>
      <c r="F24" s="3">
        <v>800</v>
      </c>
      <c r="G24" s="3">
        <v>1E+30</v>
      </c>
      <c r="H24" s="3">
        <v>140</v>
      </c>
    </row>
    <row r="25" spans="2:8" x14ac:dyDescent="0.25">
      <c r="B25" s="3" t="s">
        <v>75</v>
      </c>
      <c r="C25" s="3" t="s">
        <v>76</v>
      </c>
      <c r="D25" s="3">
        <v>740</v>
      </c>
      <c r="E25" s="3">
        <v>0</v>
      </c>
      <c r="F25" s="3">
        <v>900</v>
      </c>
      <c r="G25" s="3">
        <v>1E+30</v>
      </c>
      <c r="H25" s="3">
        <v>160</v>
      </c>
    </row>
    <row r="26" spans="2:8" x14ac:dyDescent="0.25">
      <c r="B26" s="3" t="s">
        <v>77</v>
      </c>
      <c r="C26" s="3" t="s">
        <v>78</v>
      </c>
      <c r="D26" s="3">
        <v>580</v>
      </c>
      <c r="E26" s="3">
        <v>0</v>
      </c>
      <c r="F26" s="3">
        <v>640</v>
      </c>
      <c r="G26" s="3">
        <v>1E+30</v>
      </c>
      <c r="H26" s="3">
        <v>60</v>
      </c>
    </row>
    <row r="27" spans="2:8" x14ac:dyDescent="0.25">
      <c r="B27" s="3" t="s">
        <v>79</v>
      </c>
      <c r="C27" s="3" t="s">
        <v>80</v>
      </c>
      <c r="D27" s="3">
        <v>600</v>
      </c>
      <c r="E27" s="3">
        <v>0</v>
      </c>
      <c r="F27" s="3">
        <v>640</v>
      </c>
      <c r="G27" s="3">
        <v>1E+30</v>
      </c>
      <c r="H27" s="3">
        <v>40</v>
      </c>
    </row>
    <row r="28" spans="2:8" x14ac:dyDescent="0.25">
      <c r="B28" s="3" t="s">
        <v>81</v>
      </c>
      <c r="C28" s="3" t="s">
        <v>82</v>
      </c>
      <c r="D28" s="3">
        <v>60</v>
      </c>
      <c r="E28" s="3">
        <v>0</v>
      </c>
      <c r="F28" s="3">
        <v>80</v>
      </c>
      <c r="G28" s="3">
        <v>1E+30</v>
      </c>
      <c r="H28" s="3">
        <v>20</v>
      </c>
    </row>
    <row r="29" spans="2:8" ht="15.75" thickBot="1" x14ac:dyDescent="0.3">
      <c r="B29" s="4" t="s">
        <v>90</v>
      </c>
      <c r="C29" s="4" t="s">
        <v>112</v>
      </c>
      <c r="D29" s="4">
        <v>220</v>
      </c>
      <c r="E29" s="71">
        <v>2.1</v>
      </c>
      <c r="F29" s="4">
        <v>220</v>
      </c>
      <c r="G29" s="4">
        <v>2</v>
      </c>
      <c r="H29" s="4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1E65-25D0-4A33-9F68-28D848AE598D}">
  <dimension ref="A1:B18"/>
  <sheetViews>
    <sheetView workbookViewId="0"/>
  </sheetViews>
  <sheetFormatPr defaultColWidth="8.85546875"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 t="s">
        <v>6</v>
      </c>
      <c r="B2" t="s">
        <v>84</v>
      </c>
    </row>
    <row r="3" spans="1:2" x14ac:dyDescent="0.25">
      <c r="A3">
        <v>1</v>
      </c>
      <c r="B3">
        <v>1</v>
      </c>
    </row>
    <row r="4" spans="1:2" x14ac:dyDescent="0.25">
      <c r="A4">
        <v>150</v>
      </c>
      <c r="B4">
        <v>800</v>
      </c>
    </row>
    <row r="5" spans="1:2" x14ac:dyDescent="0.25">
      <c r="A5">
        <v>300</v>
      </c>
      <c r="B5">
        <v>1000</v>
      </c>
    </row>
    <row r="6" spans="1:2" x14ac:dyDescent="0.25">
      <c r="A6">
        <v>10</v>
      </c>
      <c r="B6">
        <v>10</v>
      </c>
    </row>
    <row r="8" spans="1:2" x14ac:dyDescent="0.25">
      <c r="A8" s="1"/>
      <c r="B8" s="1" t="s">
        <v>83</v>
      </c>
    </row>
    <row r="9" spans="1:2" x14ac:dyDescent="0.25">
      <c r="A9" t="s">
        <v>88</v>
      </c>
      <c r="B9" t="s">
        <v>6</v>
      </c>
    </row>
    <row r="10" spans="1:2" x14ac:dyDescent="0.25">
      <c r="A10" t="s">
        <v>91</v>
      </c>
      <c r="B10">
        <v>1</v>
      </c>
    </row>
    <row r="11" spans="1:2" x14ac:dyDescent="0.25">
      <c r="B11">
        <v>190</v>
      </c>
    </row>
    <row r="12" spans="1:2" x14ac:dyDescent="0.25">
      <c r="B12">
        <v>220</v>
      </c>
    </row>
    <row r="13" spans="1:2" x14ac:dyDescent="0.25">
      <c r="B13">
        <v>2</v>
      </c>
    </row>
    <row r="15" spans="1:2" x14ac:dyDescent="0.25">
      <c r="B15" s="1" t="s">
        <v>83</v>
      </c>
    </row>
    <row r="16" spans="1:2" x14ac:dyDescent="0.25">
      <c r="B16" t="s">
        <v>85</v>
      </c>
    </row>
    <row r="17" spans="2:2" x14ac:dyDescent="0.25">
      <c r="B17" t="s">
        <v>92</v>
      </c>
    </row>
    <row r="18" spans="2:2" x14ac:dyDescent="0.25">
      <c r="B18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EEDC-E7E8-4B21-B6AC-C03F1733810E}">
  <dimension ref="A1:B15"/>
  <sheetViews>
    <sheetView workbookViewId="0"/>
  </sheetViews>
  <sheetFormatPr defaultColWidth="8.85546875" defaultRowHeight="15" x14ac:dyDescent="0.25"/>
  <sheetData>
    <row r="1" spans="1:2" x14ac:dyDescent="0.25">
      <c r="A1">
        <v>1</v>
      </c>
    </row>
    <row r="2" spans="1:2" x14ac:dyDescent="0.25">
      <c r="A2" t="s">
        <v>6</v>
      </c>
    </row>
    <row r="3" spans="1:2" x14ac:dyDescent="0.25">
      <c r="A3">
        <v>1</v>
      </c>
    </row>
    <row r="4" spans="1:2" x14ac:dyDescent="0.25">
      <c r="A4">
        <v>0</v>
      </c>
    </row>
    <row r="5" spans="1:2" x14ac:dyDescent="0.25">
      <c r="A5">
        <v>500</v>
      </c>
    </row>
    <row r="6" spans="1:2" x14ac:dyDescent="0.25">
      <c r="A6">
        <v>20</v>
      </c>
    </row>
    <row r="8" spans="1:2" x14ac:dyDescent="0.25">
      <c r="A8" s="1"/>
      <c r="B8" s="1"/>
    </row>
    <row r="9" spans="1:2" x14ac:dyDescent="0.25">
      <c r="A9" t="s">
        <v>8</v>
      </c>
    </row>
    <row r="10" spans="1:2" x14ac:dyDescent="0.25">
      <c r="A10" t="s">
        <v>7</v>
      </c>
    </row>
    <row r="15" spans="1:2" x14ac:dyDescent="0.25">
      <c r="B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2CF4-741B-4FEB-BD6B-009B4B108EA8}">
  <dimension ref="A8:B15"/>
  <sheetViews>
    <sheetView workbookViewId="0"/>
  </sheetViews>
  <sheetFormatPr defaultColWidth="8.85546875" defaultRowHeight="15" x14ac:dyDescent="0.25"/>
  <sheetData>
    <row r="8" spans="1:2" x14ac:dyDescent="0.25">
      <c r="A8" s="1"/>
      <c r="B8" s="1"/>
    </row>
    <row r="15" spans="1:2" x14ac:dyDescent="0.25">
      <c r="B1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3405-0D9D-4ED5-8332-B350E3BC0C47}">
  <dimension ref="A1:B18"/>
  <sheetViews>
    <sheetView workbookViewId="0"/>
  </sheetViews>
  <sheetFormatPr defaultColWidth="8.85546875"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 t="s">
        <v>145</v>
      </c>
      <c r="B2" t="s">
        <v>113</v>
      </c>
    </row>
    <row r="3" spans="1:2" x14ac:dyDescent="0.25">
      <c r="A3">
        <v>1</v>
      </c>
      <c r="B3">
        <v>1</v>
      </c>
    </row>
    <row r="4" spans="1:2" x14ac:dyDescent="0.25">
      <c r="A4">
        <v>50</v>
      </c>
      <c r="B4">
        <v>0.5</v>
      </c>
    </row>
    <row r="5" spans="1:2" x14ac:dyDescent="0.25">
      <c r="A5">
        <v>150</v>
      </c>
      <c r="B5">
        <v>2.5</v>
      </c>
    </row>
    <row r="6" spans="1:2" x14ac:dyDescent="0.25">
      <c r="A6">
        <v>10</v>
      </c>
      <c r="B6">
        <v>0.1</v>
      </c>
    </row>
    <row r="8" spans="1:2" x14ac:dyDescent="0.25">
      <c r="A8" s="1"/>
      <c r="B8" s="1" t="s">
        <v>83</v>
      </c>
    </row>
    <row r="9" spans="1:2" x14ac:dyDescent="0.25">
      <c r="A9" t="s">
        <v>88</v>
      </c>
      <c r="B9" t="s">
        <v>6</v>
      </c>
    </row>
    <row r="10" spans="1:2" x14ac:dyDescent="0.25">
      <c r="A10" t="s">
        <v>26</v>
      </c>
      <c r="B10">
        <v>1</v>
      </c>
    </row>
    <row r="11" spans="1:2" x14ac:dyDescent="0.25">
      <c r="B11">
        <v>150</v>
      </c>
    </row>
    <row r="12" spans="1:2" x14ac:dyDescent="0.25">
      <c r="B12">
        <v>330</v>
      </c>
    </row>
    <row r="13" spans="1:2" x14ac:dyDescent="0.25">
      <c r="B13">
        <v>20</v>
      </c>
    </row>
    <row r="15" spans="1:2" x14ac:dyDescent="0.25">
      <c r="B15" s="1" t="s">
        <v>83</v>
      </c>
    </row>
    <row r="16" spans="1:2" x14ac:dyDescent="0.25">
      <c r="B16" t="s">
        <v>88</v>
      </c>
    </row>
    <row r="17" spans="2:2" x14ac:dyDescent="0.25">
      <c r="B17" t="s">
        <v>114</v>
      </c>
    </row>
    <row r="18" spans="2:2" x14ac:dyDescent="0.25">
      <c r="B18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6D1F-6ECF-4486-82A1-B86EF59C6C64}">
  <dimension ref="A8:B15"/>
  <sheetViews>
    <sheetView workbookViewId="0"/>
  </sheetViews>
  <sheetFormatPr defaultColWidth="8.85546875" defaultRowHeight="15" x14ac:dyDescent="0.25"/>
  <sheetData>
    <row r="8" spans="1:2" x14ac:dyDescent="0.25">
      <c r="A8" s="1"/>
      <c r="B8" s="1"/>
    </row>
    <row r="15" spans="1:2" x14ac:dyDescent="0.25">
      <c r="B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EF8B-A74D-4DD4-A711-B696C42D8BD7}">
  <dimension ref="A1:K15"/>
  <sheetViews>
    <sheetView workbookViewId="0">
      <selection activeCell="J22" sqref="J22"/>
    </sheetView>
  </sheetViews>
  <sheetFormatPr defaultColWidth="8.85546875" defaultRowHeight="15" x14ac:dyDescent="0.25"/>
  <sheetData>
    <row r="1" spans="1:11" x14ac:dyDescent="0.25">
      <c r="A1" s="2" t="s">
        <v>101</v>
      </c>
      <c r="K1" s="9" t="str">
        <f>CONCATENATE("Sensitivity of ",$K$4," to ","Maximum Baking Time in Minutes")</f>
        <v>Sensitivity of $D$15 to Maximum Baking Time in Minutes</v>
      </c>
    </row>
    <row r="3" spans="1:11" x14ac:dyDescent="0.25">
      <c r="A3" t="s">
        <v>119</v>
      </c>
      <c r="K3" t="s">
        <v>89</v>
      </c>
    </row>
    <row r="4" spans="1:11" ht="33" x14ac:dyDescent="0.25">
      <c r="B4" s="18" t="s">
        <v>86</v>
      </c>
      <c r="C4" s="18" t="s">
        <v>55</v>
      </c>
      <c r="D4" s="18" t="s">
        <v>56</v>
      </c>
      <c r="E4" s="18" t="s">
        <v>57</v>
      </c>
      <c r="F4" s="18" t="s">
        <v>58</v>
      </c>
      <c r="J4" s="9">
        <f>MATCH($K$4,OutputAddresses,0)</f>
        <v>1</v>
      </c>
      <c r="K4" s="8" t="s">
        <v>86</v>
      </c>
    </row>
    <row r="5" spans="1:11" x14ac:dyDescent="0.25">
      <c r="A5" s="17">
        <v>1500</v>
      </c>
      <c r="B5" s="14">
        <v>297.19999217987061</v>
      </c>
      <c r="C5" s="19">
        <v>40</v>
      </c>
      <c r="D5" s="19">
        <v>82</v>
      </c>
      <c r="E5" s="19">
        <v>20</v>
      </c>
      <c r="F5" s="20">
        <v>30</v>
      </c>
      <c r="K5">
        <f>INDEX(OutputValues,1,$J$4)</f>
        <v>297.19999217987061</v>
      </c>
    </row>
    <row r="6" spans="1:11" x14ac:dyDescent="0.25">
      <c r="A6" s="17">
        <v>1600</v>
      </c>
      <c r="B6" s="15">
        <v>318.19999122619629</v>
      </c>
      <c r="C6" s="10">
        <v>40</v>
      </c>
      <c r="D6" s="10">
        <v>92</v>
      </c>
      <c r="E6" s="10">
        <v>20</v>
      </c>
      <c r="F6" s="12">
        <v>30</v>
      </c>
      <c r="K6">
        <f>INDEX(OutputValues,2,$J$4)</f>
        <v>318.19999122619629</v>
      </c>
    </row>
    <row r="7" spans="1:11" x14ac:dyDescent="0.25">
      <c r="A7" s="17">
        <v>1700</v>
      </c>
      <c r="B7" s="15">
        <v>339.19999027252197</v>
      </c>
      <c r="C7" s="10">
        <v>40</v>
      </c>
      <c r="D7" s="10">
        <v>102</v>
      </c>
      <c r="E7" s="10">
        <v>20</v>
      </c>
      <c r="F7" s="12">
        <v>30</v>
      </c>
      <c r="K7">
        <f>INDEX(OutputValues,3,$J$4)</f>
        <v>339.19999027252197</v>
      </c>
    </row>
    <row r="8" spans="1:11" x14ac:dyDescent="0.25">
      <c r="A8" s="17">
        <v>1800</v>
      </c>
      <c r="B8" s="15">
        <v>360.19998931884766</v>
      </c>
      <c r="C8" s="10">
        <v>40</v>
      </c>
      <c r="D8" s="10">
        <v>112</v>
      </c>
      <c r="E8" s="10">
        <v>20</v>
      </c>
      <c r="F8" s="12">
        <v>30</v>
      </c>
      <c r="K8">
        <f>INDEX(OutputValues,4,$J$4)</f>
        <v>360.19998931884766</v>
      </c>
    </row>
    <row r="9" spans="1:11" x14ac:dyDescent="0.25">
      <c r="A9" s="17">
        <v>1900</v>
      </c>
      <c r="B9" s="15">
        <v>381.19998836517334</v>
      </c>
      <c r="C9" s="10">
        <v>40</v>
      </c>
      <c r="D9" s="10">
        <v>122</v>
      </c>
      <c r="E9" s="10">
        <v>20</v>
      </c>
      <c r="F9" s="12">
        <v>30</v>
      </c>
      <c r="K9">
        <f>INDEX(OutputValues,5,$J$4)</f>
        <v>381.19998836517334</v>
      </c>
    </row>
    <row r="10" spans="1:11" x14ac:dyDescent="0.25">
      <c r="A10" s="17">
        <v>2000</v>
      </c>
      <c r="B10" s="15">
        <v>397.99998760223389</v>
      </c>
      <c r="C10" s="10">
        <v>40</v>
      </c>
      <c r="D10" s="10">
        <v>130</v>
      </c>
      <c r="E10" s="10">
        <v>20</v>
      </c>
      <c r="F10" s="12">
        <v>30</v>
      </c>
      <c r="K10">
        <f>INDEX(OutputValues,6,$J$4)</f>
        <v>397.99998760223389</v>
      </c>
    </row>
    <row r="11" spans="1:11" x14ac:dyDescent="0.25">
      <c r="A11" s="17">
        <v>2100</v>
      </c>
      <c r="B11" s="15">
        <v>397.99998760223389</v>
      </c>
      <c r="C11" s="10">
        <v>40</v>
      </c>
      <c r="D11" s="10">
        <v>130</v>
      </c>
      <c r="E11" s="10">
        <v>20</v>
      </c>
      <c r="F11" s="12">
        <v>30</v>
      </c>
      <c r="K11">
        <f>INDEX(OutputValues,7,$J$4)</f>
        <v>397.99998760223389</v>
      </c>
    </row>
    <row r="12" spans="1:11" x14ac:dyDescent="0.25">
      <c r="A12" s="17">
        <v>2200</v>
      </c>
      <c r="B12" s="15">
        <v>397.99998760223389</v>
      </c>
      <c r="C12" s="10">
        <v>40</v>
      </c>
      <c r="D12" s="10">
        <v>130</v>
      </c>
      <c r="E12" s="10">
        <v>20</v>
      </c>
      <c r="F12" s="12">
        <v>30</v>
      </c>
      <c r="K12">
        <f>INDEX(OutputValues,8,$J$4)</f>
        <v>397.99998760223389</v>
      </c>
    </row>
    <row r="13" spans="1:11" x14ac:dyDescent="0.25">
      <c r="A13" s="17">
        <v>2300</v>
      </c>
      <c r="B13" s="15">
        <v>397.99998760223389</v>
      </c>
      <c r="C13" s="10">
        <v>40</v>
      </c>
      <c r="D13" s="10">
        <v>130</v>
      </c>
      <c r="E13" s="10">
        <v>20</v>
      </c>
      <c r="F13" s="12">
        <v>30</v>
      </c>
      <c r="K13">
        <f>INDEX(OutputValues,9,$J$4)</f>
        <v>397.99998760223389</v>
      </c>
    </row>
    <row r="14" spans="1:11" x14ac:dyDescent="0.25">
      <c r="A14" s="17">
        <v>2400</v>
      </c>
      <c r="B14" s="15">
        <v>397.99998760223389</v>
      </c>
      <c r="C14" s="10">
        <v>40</v>
      </c>
      <c r="D14" s="10">
        <v>130</v>
      </c>
      <c r="E14" s="10">
        <v>20</v>
      </c>
      <c r="F14" s="12">
        <v>30</v>
      </c>
      <c r="K14">
        <f>INDEX(OutputValues,10,$J$4)</f>
        <v>397.99998760223389</v>
      </c>
    </row>
    <row r="15" spans="1:11" x14ac:dyDescent="0.25">
      <c r="A15" s="17">
        <v>2500</v>
      </c>
      <c r="B15" s="16">
        <v>397.99998760223389</v>
      </c>
      <c r="C15" s="11">
        <v>40</v>
      </c>
      <c r="D15" s="11">
        <v>130</v>
      </c>
      <c r="E15" s="11">
        <v>20</v>
      </c>
      <c r="F15" s="13">
        <v>30</v>
      </c>
      <c r="K15">
        <f>INDEX(OutputValues,11,$J$4)</f>
        <v>397.99998760223389</v>
      </c>
    </row>
  </sheetData>
  <dataValidations count="1">
    <dataValidation type="list" allowBlank="1" showInputMessage="1" showErrorMessage="1" sqref="K4" xr:uid="{2E75179E-F314-48E7-97F8-189886B59320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820D-C7C4-4C63-A36A-6F0D19D020A5}">
  <dimension ref="A1:K29"/>
  <sheetViews>
    <sheetView workbookViewId="0">
      <selection activeCell="V15" sqref="V15"/>
    </sheetView>
  </sheetViews>
  <sheetFormatPr defaultColWidth="8.85546875" defaultRowHeight="15" x14ac:dyDescent="0.25"/>
  <sheetData>
    <row r="1" spans="1:11" x14ac:dyDescent="0.25">
      <c r="A1" s="2" t="s">
        <v>101</v>
      </c>
      <c r="K1" s="9" t="str">
        <f>CONCATENATE("Sensitivity of ",$K$4," to ","Maximum amount of pizza dough available every week")</f>
        <v>Sensitivity of $D$15 to Maximum amount of pizza dough available every week</v>
      </c>
    </row>
    <row r="3" spans="1:11" x14ac:dyDescent="0.25">
      <c r="A3" t="s">
        <v>144</v>
      </c>
      <c r="K3" t="s">
        <v>89</v>
      </c>
    </row>
    <row r="4" spans="1:11" ht="33" x14ac:dyDescent="0.25">
      <c r="B4" s="18" t="s">
        <v>86</v>
      </c>
      <c r="C4" s="18" t="s">
        <v>55</v>
      </c>
      <c r="D4" s="18" t="s">
        <v>56</v>
      </c>
      <c r="E4" s="18" t="s">
        <v>57</v>
      </c>
      <c r="F4" s="18" t="s">
        <v>58</v>
      </c>
      <c r="J4" s="9">
        <f>MATCH($K$4,OutputAddresses,0)</f>
        <v>1</v>
      </c>
      <c r="K4" s="8" t="s">
        <v>86</v>
      </c>
    </row>
    <row r="5" spans="1:11" x14ac:dyDescent="0.25">
      <c r="A5" s="5">
        <v>900</v>
      </c>
      <c r="B5" s="14">
        <v>313.99999141693115</v>
      </c>
      <c r="C5" s="19">
        <v>40</v>
      </c>
      <c r="D5" s="19">
        <v>90</v>
      </c>
      <c r="E5" s="19">
        <v>20</v>
      </c>
      <c r="F5" s="20">
        <v>30</v>
      </c>
      <c r="K5">
        <f>INDEX(OutputValues,1,$J$4)</f>
        <v>313.99999141693115</v>
      </c>
    </row>
    <row r="6" spans="1:11" x14ac:dyDescent="0.25">
      <c r="A6" s="5">
        <v>950</v>
      </c>
      <c r="B6" s="15">
        <v>334.99999046325684</v>
      </c>
      <c r="C6" s="10">
        <v>40</v>
      </c>
      <c r="D6" s="10">
        <v>100</v>
      </c>
      <c r="E6" s="10">
        <v>20</v>
      </c>
      <c r="F6" s="12">
        <v>30</v>
      </c>
      <c r="K6">
        <f>INDEX(OutputValues,2,$J$4)</f>
        <v>334.99999046325684</v>
      </c>
    </row>
    <row r="7" spans="1:11" x14ac:dyDescent="0.25">
      <c r="A7" s="5">
        <v>1000</v>
      </c>
      <c r="B7" s="15">
        <v>355.99998950958252</v>
      </c>
      <c r="C7" s="10">
        <v>40</v>
      </c>
      <c r="D7" s="10">
        <v>110</v>
      </c>
      <c r="E7" s="10">
        <v>20</v>
      </c>
      <c r="F7" s="12">
        <v>30</v>
      </c>
      <c r="K7">
        <f>INDEX(OutputValues,3,$J$4)</f>
        <v>355.99998950958252</v>
      </c>
    </row>
    <row r="8" spans="1:11" x14ac:dyDescent="0.25">
      <c r="A8" s="5">
        <v>1050</v>
      </c>
      <c r="B8" s="15">
        <v>376.9999885559082</v>
      </c>
      <c r="C8" s="10">
        <v>40</v>
      </c>
      <c r="D8" s="10">
        <v>120</v>
      </c>
      <c r="E8" s="10">
        <v>20</v>
      </c>
      <c r="F8" s="12">
        <v>30</v>
      </c>
      <c r="K8">
        <f>INDEX(OutputValues,4,$J$4)</f>
        <v>376.9999885559082</v>
      </c>
    </row>
    <row r="9" spans="1:11" x14ac:dyDescent="0.25">
      <c r="A9" s="5">
        <v>1100</v>
      </c>
      <c r="B9" s="15">
        <v>397.99998760223389</v>
      </c>
      <c r="C9" s="10">
        <v>40</v>
      </c>
      <c r="D9" s="10">
        <v>130</v>
      </c>
      <c r="E9" s="10">
        <v>20</v>
      </c>
      <c r="F9" s="12">
        <v>30</v>
      </c>
      <c r="K9">
        <f>INDEX(OutputValues,5,$J$4)</f>
        <v>397.99998760223389</v>
      </c>
    </row>
    <row r="10" spans="1:11" x14ac:dyDescent="0.25">
      <c r="A10" s="5">
        <v>1150</v>
      </c>
      <c r="B10" s="15">
        <v>397.99998760223389</v>
      </c>
      <c r="C10" s="10">
        <v>40</v>
      </c>
      <c r="D10" s="10">
        <v>130</v>
      </c>
      <c r="E10" s="10">
        <v>20</v>
      </c>
      <c r="F10" s="12">
        <v>30</v>
      </c>
      <c r="K10">
        <f>INDEX(OutputValues,6,$J$4)</f>
        <v>397.99998760223389</v>
      </c>
    </row>
    <row r="11" spans="1:11" x14ac:dyDescent="0.25">
      <c r="A11" s="5">
        <v>1200</v>
      </c>
      <c r="B11" s="15">
        <v>397.99998760223389</v>
      </c>
      <c r="C11" s="10">
        <v>40</v>
      </c>
      <c r="D11" s="10">
        <v>130</v>
      </c>
      <c r="E11" s="10">
        <v>20</v>
      </c>
      <c r="F11" s="12">
        <v>30</v>
      </c>
      <c r="K11">
        <f>INDEX(OutputValues,7,$J$4)</f>
        <v>397.99998760223389</v>
      </c>
    </row>
    <row r="12" spans="1:11" x14ac:dyDescent="0.25">
      <c r="A12" s="5">
        <v>1250</v>
      </c>
      <c r="B12" s="15">
        <v>397.99998760223389</v>
      </c>
      <c r="C12" s="10">
        <v>40</v>
      </c>
      <c r="D12" s="10">
        <v>130</v>
      </c>
      <c r="E12" s="10">
        <v>20</v>
      </c>
      <c r="F12" s="12">
        <v>30</v>
      </c>
      <c r="K12">
        <f>INDEX(OutputValues,8,$J$4)</f>
        <v>397.99998760223389</v>
      </c>
    </row>
    <row r="13" spans="1:11" x14ac:dyDescent="0.25">
      <c r="A13" s="5">
        <v>1300</v>
      </c>
      <c r="B13" s="15">
        <v>397.99998760223389</v>
      </c>
      <c r="C13" s="10">
        <v>40</v>
      </c>
      <c r="D13" s="10">
        <v>130</v>
      </c>
      <c r="E13" s="10">
        <v>20</v>
      </c>
      <c r="F13" s="12">
        <v>30</v>
      </c>
      <c r="K13">
        <f>INDEX(OutputValues,9,$J$4)</f>
        <v>397.99998760223389</v>
      </c>
    </row>
    <row r="14" spans="1:11" x14ac:dyDescent="0.25">
      <c r="A14" s="5">
        <v>1350</v>
      </c>
      <c r="B14" s="15">
        <v>397.99998760223389</v>
      </c>
      <c r="C14" s="10">
        <v>40</v>
      </c>
      <c r="D14" s="10">
        <v>130</v>
      </c>
      <c r="E14" s="10">
        <v>20</v>
      </c>
      <c r="F14" s="12">
        <v>30</v>
      </c>
      <c r="K14">
        <f>INDEX(OutputValues,10,$J$4)</f>
        <v>397.99998760223389</v>
      </c>
    </row>
    <row r="15" spans="1:11" x14ac:dyDescent="0.25">
      <c r="A15" s="5">
        <v>1400</v>
      </c>
      <c r="B15" s="15">
        <v>397.99998760223389</v>
      </c>
      <c r="C15" s="10">
        <v>40</v>
      </c>
      <c r="D15" s="10">
        <v>130</v>
      </c>
      <c r="E15" s="10">
        <v>20</v>
      </c>
      <c r="F15" s="12">
        <v>30</v>
      </c>
      <c r="K15">
        <f>INDEX(OutputValues,11,$J$4)</f>
        <v>397.99998760223389</v>
      </c>
    </row>
    <row r="16" spans="1:11" x14ac:dyDescent="0.25">
      <c r="A16" s="5">
        <v>1450</v>
      </c>
      <c r="B16" s="15">
        <v>397.99998760223389</v>
      </c>
      <c r="C16" s="10">
        <v>40</v>
      </c>
      <c r="D16" s="10">
        <v>130</v>
      </c>
      <c r="E16" s="10">
        <v>20</v>
      </c>
      <c r="F16" s="12">
        <v>30</v>
      </c>
      <c r="K16">
        <f>INDEX(OutputValues,12,$J$4)</f>
        <v>397.99998760223389</v>
      </c>
    </row>
    <row r="17" spans="1:11" x14ac:dyDescent="0.25">
      <c r="A17" s="5">
        <v>1500</v>
      </c>
      <c r="B17" s="15">
        <v>397.99998760223389</v>
      </c>
      <c r="C17" s="10">
        <v>40</v>
      </c>
      <c r="D17" s="10">
        <v>130</v>
      </c>
      <c r="E17" s="10">
        <v>20</v>
      </c>
      <c r="F17" s="12">
        <v>30</v>
      </c>
      <c r="K17">
        <f>INDEX(OutputValues,13,$J$4)</f>
        <v>397.99998760223389</v>
      </c>
    </row>
    <row r="18" spans="1:11" x14ac:dyDescent="0.25">
      <c r="A18" s="5">
        <v>1550</v>
      </c>
      <c r="B18" s="15">
        <v>397.99998760223389</v>
      </c>
      <c r="C18" s="10">
        <v>40</v>
      </c>
      <c r="D18" s="10">
        <v>130</v>
      </c>
      <c r="E18" s="10">
        <v>20</v>
      </c>
      <c r="F18" s="12">
        <v>30</v>
      </c>
      <c r="K18">
        <f>INDEX(OutputValues,14,$J$4)</f>
        <v>397.99998760223389</v>
      </c>
    </row>
    <row r="19" spans="1:11" x14ac:dyDescent="0.25">
      <c r="A19" s="5">
        <v>1600</v>
      </c>
      <c r="B19" s="15">
        <v>397.99998760223389</v>
      </c>
      <c r="C19" s="10">
        <v>40</v>
      </c>
      <c r="D19" s="10">
        <v>130</v>
      </c>
      <c r="E19" s="10">
        <v>20</v>
      </c>
      <c r="F19" s="12">
        <v>30</v>
      </c>
      <c r="K19">
        <f>INDEX(OutputValues,15,$J$4)</f>
        <v>397.99998760223389</v>
      </c>
    </row>
    <row r="20" spans="1:11" x14ac:dyDescent="0.25">
      <c r="A20" s="5">
        <v>1650</v>
      </c>
      <c r="B20" s="15">
        <v>397.99998760223389</v>
      </c>
      <c r="C20" s="10">
        <v>40</v>
      </c>
      <c r="D20" s="10">
        <v>130</v>
      </c>
      <c r="E20" s="10">
        <v>20</v>
      </c>
      <c r="F20" s="12">
        <v>30</v>
      </c>
      <c r="K20">
        <f>INDEX(OutputValues,16,$J$4)</f>
        <v>397.99998760223389</v>
      </c>
    </row>
    <row r="21" spans="1:11" x14ac:dyDescent="0.25">
      <c r="A21" s="5">
        <v>1700</v>
      </c>
      <c r="B21" s="15">
        <v>397.99998760223389</v>
      </c>
      <c r="C21" s="10">
        <v>40</v>
      </c>
      <c r="D21" s="10">
        <v>130</v>
      </c>
      <c r="E21" s="10">
        <v>20</v>
      </c>
      <c r="F21" s="12">
        <v>30</v>
      </c>
      <c r="K21">
        <f>INDEX(OutputValues,17,$J$4)</f>
        <v>397.99998760223389</v>
      </c>
    </row>
    <row r="22" spans="1:11" x14ac:dyDescent="0.25">
      <c r="A22" s="5">
        <v>1750</v>
      </c>
      <c r="B22" s="15">
        <v>397.99998760223389</v>
      </c>
      <c r="C22" s="10">
        <v>40</v>
      </c>
      <c r="D22" s="10">
        <v>130</v>
      </c>
      <c r="E22" s="10">
        <v>20</v>
      </c>
      <c r="F22" s="12">
        <v>30</v>
      </c>
      <c r="K22">
        <f>INDEX(OutputValues,18,$J$4)</f>
        <v>397.99998760223389</v>
      </c>
    </row>
    <row r="23" spans="1:11" x14ac:dyDescent="0.25">
      <c r="A23" s="5">
        <v>1800</v>
      </c>
      <c r="B23" s="15">
        <v>397.99998760223389</v>
      </c>
      <c r="C23" s="10">
        <v>40</v>
      </c>
      <c r="D23" s="10">
        <v>130</v>
      </c>
      <c r="E23" s="10">
        <v>20</v>
      </c>
      <c r="F23" s="12">
        <v>30</v>
      </c>
      <c r="K23">
        <f>INDEX(OutputValues,19,$J$4)</f>
        <v>397.99998760223389</v>
      </c>
    </row>
    <row r="24" spans="1:11" x14ac:dyDescent="0.25">
      <c r="A24" s="5">
        <v>1850</v>
      </c>
      <c r="B24" s="15">
        <v>397.99998760223389</v>
      </c>
      <c r="C24" s="10">
        <v>40</v>
      </c>
      <c r="D24" s="10">
        <v>130</v>
      </c>
      <c r="E24" s="10">
        <v>20</v>
      </c>
      <c r="F24" s="12">
        <v>30</v>
      </c>
      <c r="K24">
        <f>INDEX(OutputValues,20,$J$4)</f>
        <v>397.99998760223389</v>
      </c>
    </row>
    <row r="25" spans="1:11" x14ac:dyDescent="0.25">
      <c r="A25" s="5">
        <v>1900</v>
      </c>
      <c r="B25" s="15">
        <v>397.99998760223389</v>
      </c>
      <c r="C25" s="10">
        <v>40</v>
      </c>
      <c r="D25" s="10">
        <v>130</v>
      </c>
      <c r="E25" s="10">
        <v>20</v>
      </c>
      <c r="F25" s="12">
        <v>30</v>
      </c>
      <c r="K25">
        <f>INDEX(OutputValues,21,$J$4)</f>
        <v>397.99998760223389</v>
      </c>
    </row>
    <row r="26" spans="1:11" x14ac:dyDescent="0.25">
      <c r="A26" s="5">
        <v>1950</v>
      </c>
      <c r="B26" s="15">
        <v>397.99998760223389</v>
      </c>
      <c r="C26" s="10">
        <v>40</v>
      </c>
      <c r="D26" s="10">
        <v>130</v>
      </c>
      <c r="E26" s="10">
        <v>20</v>
      </c>
      <c r="F26" s="12">
        <v>30</v>
      </c>
      <c r="K26">
        <f>INDEX(OutputValues,22,$J$4)</f>
        <v>397.99998760223389</v>
      </c>
    </row>
    <row r="27" spans="1:11" x14ac:dyDescent="0.25">
      <c r="A27" s="5">
        <v>2000</v>
      </c>
      <c r="B27" s="15">
        <v>397.99998760223389</v>
      </c>
      <c r="C27" s="10">
        <v>40</v>
      </c>
      <c r="D27" s="10">
        <v>130</v>
      </c>
      <c r="E27" s="10">
        <v>20</v>
      </c>
      <c r="F27" s="12">
        <v>30</v>
      </c>
      <c r="K27">
        <f>INDEX(OutputValues,23,$J$4)</f>
        <v>397.99998760223389</v>
      </c>
    </row>
    <row r="28" spans="1:11" x14ac:dyDescent="0.25">
      <c r="A28" s="5">
        <v>2050</v>
      </c>
      <c r="B28" s="15">
        <v>397.99998760223389</v>
      </c>
      <c r="C28" s="10">
        <v>40</v>
      </c>
      <c r="D28" s="10">
        <v>130</v>
      </c>
      <c r="E28" s="10">
        <v>20</v>
      </c>
      <c r="F28" s="12">
        <v>30</v>
      </c>
      <c r="K28">
        <f>INDEX(OutputValues,24,$J$4)</f>
        <v>397.99998760223389</v>
      </c>
    </row>
    <row r="29" spans="1:11" x14ac:dyDescent="0.25">
      <c r="A29" s="5">
        <v>2100</v>
      </c>
      <c r="B29" s="16">
        <v>397.99998760223389</v>
      </c>
      <c r="C29" s="11">
        <v>40</v>
      </c>
      <c r="D29" s="11">
        <v>130</v>
      </c>
      <c r="E29" s="11">
        <v>20</v>
      </c>
      <c r="F29" s="13">
        <v>30</v>
      </c>
      <c r="K29">
        <f>INDEX(OutputValues,25,$J$4)</f>
        <v>397.99998760223389</v>
      </c>
    </row>
  </sheetData>
  <dataValidations count="1">
    <dataValidation type="list" allowBlank="1" showInputMessage="1" showErrorMessage="1" sqref="K4" xr:uid="{303F7109-853B-4965-89C7-9F4B2AE48198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68F8-C659-4ED4-B3F5-B5D626A77A2B}">
  <dimension ref="A1:K20"/>
  <sheetViews>
    <sheetView workbookViewId="0">
      <selection activeCell="W15" sqref="W15"/>
    </sheetView>
  </sheetViews>
  <sheetFormatPr defaultColWidth="8.85546875" defaultRowHeight="15" x14ac:dyDescent="0.25"/>
  <sheetData>
    <row r="1" spans="1:11" x14ac:dyDescent="0.25">
      <c r="A1" s="2" t="s">
        <v>101</v>
      </c>
      <c r="K1" s="9" t="str">
        <f>CONCATENATE("Sensitivity of ",$K$4," to ","Maximum storage capacity availability(no of pizzas that can be stored) every week")</f>
        <v>Sensitivity of $D$15 to Maximum storage capacity availability(no of pizzas that can be stored) every week</v>
      </c>
    </row>
    <row r="3" spans="1:11" x14ac:dyDescent="0.25">
      <c r="A3" t="s">
        <v>118</v>
      </c>
      <c r="K3" t="s">
        <v>89</v>
      </c>
    </row>
    <row r="4" spans="1:11" ht="33" x14ac:dyDescent="0.25">
      <c r="B4" s="18" t="s">
        <v>86</v>
      </c>
      <c r="C4" s="18" t="s">
        <v>55</v>
      </c>
      <c r="D4" s="18" t="s">
        <v>56</v>
      </c>
      <c r="E4" s="18" t="s">
        <v>57</v>
      </c>
      <c r="F4" s="18" t="s">
        <v>58</v>
      </c>
      <c r="J4" s="9">
        <f>MATCH($K$4,OutputAddresses,0)</f>
        <v>1</v>
      </c>
      <c r="K4" s="8" t="s">
        <v>86</v>
      </c>
    </row>
    <row r="5" spans="1:11" x14ac:dyDescent="0.25">
      <c r="A5" s="5">
        <v>150</v>
      </c>
      <c r="B5" s="14">
        <v>250.9999942779541</v>
      </c>
      <c r="C5" s="19">
        <v>40</v>
      </c>
      <c r="D5" s="19">
        <v>60</v>
      </c>
      <c r="E5" s="19">
        <v>20</v>
      </c>
      <c r="F5" s="20">
        <v>30</v>
      </c>
      <c r="K5">
        <f>INDEX(OutputValues,1,$J$4)</f>
        <v>250.9999942779541</v>
      </c>
    </row>
    <row r="6" spans="1:11" x14ac:dyDescent="0.25">
      <c r="A6" s="5">
        <v>160</v>
      </c>
      <c r="B6" s="15">
        <v>271.99999332427979</v>
      </c>
      <c r="C6" s="10">
        <v>40</v>
      </c>
      <c r="D6" s="10">
        <v>70</v>
      </c>
      <c r="E6" s="10">
        <v>20</v>
      </c>
      <c r="F6" s="12">
        <v>30</v>
      </c>
      <c r="K6">
        <f>INDEX(OutputValues,2,$J$4)</f>
        <v>271.99999332427979</v>
      </c>
    </row>
    <row r="7" spans="1:11" x14ac:dyDescent="0.25">
      <c r="A7" s="5">
        <v>170</v>
      </c>
      <c r="B7" s="15">
        <v>292.99999237060547</v>
      </c>
      <c r="C7" s="10">
        <v>40</v>
      </c>
      <c r="D7" s="10">
        <v>80</v>
      </c>
      <c r="E7" s="10">
        <v>20</v>
      </c>
      <c r="F7" s="12">
        <v>30</v>
      </c>
      <c r="K7">
        <f>INDEX(OutputValues,3,$J$4)</f>
        <v>292.99999237060547</v>
      </c>
    </row>
    <row r="8" spans="1:11" x14ac:dyDescent="0.25">
      <c r="A8" s="5">
        <v>180</v>
      </c>
      <c r="B8" s="15">
        <v>313.99999141693115</v>
      </c>
      <c r="C8" s="10">
        <v>40</v>
      </c>
      <c r="D8" s="10">
        <v>90</v>
      </c>
      <c r="E8" s="10">
        <v>20</v>
      </c>
      <c r="F8" s="12">
        <v>30</v>
      </c>
      <c r="K8">
        <f>INDEX(OutputValues,4,$J$4)</f>
        <v>313.99999141693115</v>
      </c>
    </row>
    <row r="9" spans="1:11" x14ac:dyDescent="0.25">
      <c r="A9" s="5">
        <v>190</v>
      </c>
      <c r="B9" s="15">
        <v>334.99999046325684</v>
      </c>
      <c r="C9" s="10">
        <v>40</v>
      </c>
      <c r="D9" s="10">
        <v>100</v>
      </c>
      <c r="E9" s="10">
        <v>20</v>
      </c>
      <c r="F9" s="12">
        <v>30</v>
      </c>
      <c r="K9">
        <f>INDEX(OutputValues,5,$J$4)</f>
        <v>334.99999046325684</v>
      </c>
    </row>
    <row r="10" spans="1:11" x14ac:dyDescent="0.25">
      <c r="A10" s="5">
        <v>200</v>
      </c>
      <c r="B10" s="15">
        <v>355.99998950958252</v>
      </c>
      <c r="C10" s="10">
        <v>40</v>
      </c>
      <c r="D10" s="10">
        <v>110</v>
      </c>
      <c r="E10" s="10">
        <v>20</v>
      </c>
      <c r="F10" s="12">
        <v>30</v>
      </c>
      <c r="K10">
        <f>INDEX(OutputValues,6,$J$4)</f>
        <v>355.99998950958252</v>
      </c>
    </row>
    <row r="11" spans="1:11" x14ac:dyDescent="0.25">
      <c r="A11" s="5">
        <v>210</v>
      </c>
      <c r="B11" s="15">
        <v>376.9999885559082</v>
      </c>
      <c r="C11" s="10">
        <v>40</v>
      </c>
      <c r="D11" s="10">
        <v>120</v>
      </c>
      <c r="E11" s="10">
        <v>20</v>
      </c>
      <c r="F11" s="12">
        <v>30</v>
      </c>
      <c r="K11">
        <f>INDEX(OutputValues,7,$J$4)</f>
        <v>376.9999885559082</v>
      </c>
    </row>
    <row r="12" spans="1:11" x14ac:dyDescent="0.25">
      <c r="A12" s="5">
        <v>220</v>
      </c>
      <c r="B12" s="15">
        <v>397.99998760223389</v>
      </c>
      <c r="C12" s="10">
        <v>40</v>
      </c>
      <c r="D12" s="10">
        <v>130</v>
      </c>
      <c r="E12" s="10">
        <v>20</v>
      </c>
      <c r="F12" s="12">
        <v>30</v>
      </c>
      <c r="K12">
        <f>INDEX(OutputValues,8,$J$4)</f>
        <v>397.99998760223389</v>
      </c>
    </row>
    <row r="13" spans="1:11" x14ac:dyDescent="0.25">
      <c r="A13" s="5">
        <v>230</v>
      </c>
      <c r="B13" s="15">
        <v>402.19998741149902</v>
      </c>
      <c r="C13" s="10">
        <v>40</v>
      </c>
      <c r="D13" s="10">
        <v>132</v>
      </c>
      <c r="E13" s="10">
        <v>20</v>
      </c>
      <c r="F13" s="12">
        <v>30</v>
      </c>
      <c r="K13">
        <f>INDEX(OutputValues,9,$J$4)</f>
        <v>402.19998741149902</v>
      </c>
    </row>
    <row r="14" spans="1:11" x14ac:dyDescent="0.25">
      <c r="A14" s="5">
        <v>240</v>
      </c>
      <c r="B14" s="15">
        <v>402.19998741149902</v>
      </c>
      <c r="C14" s="10">
        <v>40</v>
      </c>
      <c r="D14" s="10">
        <v>132</v>
      </c>
      <c r="E14" s="10">
        <v>20</v>
      </c>
      <c r="F14" s="12">
        <v>30</v>
      </c>
      <c r="K14">
        <f>INDEX(OutputValues,10,$J$4)</f>
        <v>402.19998741149902</v>
      </c>
    </row>
    <row r="15" spans="1:11" x14ac:dyDescent="0.25">
      <c r="A15" s="5">
        <v>250</v>
      </c>
      <c r="B15" s="15">
        <v>402.19998741149902</v>
      </c>
      <c r="C15" s="10">
        <v>40</v>
      </c>
      <c r="D15" s="10">
        <v>132</v>
      </c>
      <c r="E15" s="10">
        <v>20</v>
      </c>
      <c r="F15" s="12">
        <v>30</v>
      </c>
      <c r="K15">
        <f>INDEX(OutputValues,11,$J$4)</f>
        <v>402.19998741149902</v>
      </c>
    </row>
    <row r="16" spans="1:11" x14ac:dyDescent="0.25">
      <c r="A16" s="5">
        <v>260</v>
      </c>
      <c r="B16" s="15">
        <v>402.19998741149902</v>
      </c>
      <c r="C16" s="10">
        <v>40</v>
      </c>
      <c r="D16" s="10">
        <v>132</v>
      </c>
      <c r="E16" s="10">
        <v>20</v>
      </c>
      <c r="F16" s="12">
        <v>30</v>
      </c>
      <c r="K16">
        <f>INDEX(OutputValues,12,$J$4)</f>
        <v>402.19998741149902</v>
      </c>
    </row>
    <row r="17" spans="1:11" x14ac:dyDescent="0.25">
      <c r="A17" s="5">
        <v>270</v>
      </c>
      <c r="B17" s="15">
        <v>402.19998741149902</v>
      </c>
      <c r="C17" s="10">
        <v>40</v>
      </c>
      <c r="D17" s="10">
        <v>132</v>
      </c>
      <c r="E17" s="10">
        <v>20</v>
      </c>
      <c r="F17" s="12">
        <v>30</v>
      </c>
      <c r="K17">
        <f>INDEX(OutputValues,13,$J$4)</f>
        <v>402.19998741149902</v>
      </c>
    </row>
    <row r="18" spans="1:11" x14ac:dyDescent="0.25">
      <c r="A18" s="5">
        <v>280</v>
      </c>
      <c r="B18" s="15">
        <v>402.19998741149902</v>
      </c>
      <c r="C18" s="10">
        <v>40</v>
      </c>
      <c r="D18" s="10">
        <v>132</v>
      </c>
      <c r="E18" s="10">
        <v>20</v>
      </c>
      <c r="F18" s="12">
        <v>30</v>
      </c>
      <c r="K18">
        <f>INDEX(OutputValues,14,$J$4)</f>
        <v>402.19998741149902</v>
      </c>
    </row>
    <row r="19" spans="1:11" x14ac:dyDescent="0.25">
      <c r="A19" s="5">
        <v>290</v>
      </c>
      <c r="B19" s="15">
        <v>402.19998741149902</v>
      </c>
      <c r="C19" s="10">
        <v>40</v>
      </c>
      <c r="D19" s="10">
        <v>132</v>
      </c>
      <c r="E19" s="10">
        <v>20</v>
      </c>
      <c r="F19" s="12">
        <v>30</v>
      </c>
      <c r="K19">
        <f>INDEX(OutputValues,15,$J$4)</f>
        <v>402.19998741149902</v>
      </c>
    </row>
    <row r="20" spans="1:11" x14ac:dyDescent="0.25">
      <c r="A20" s="5">
        <v>300</v>
      </c>
      <c r="B20" s="16">
        <v>402.19998741149902</v>
      </c>
      <c r="C20" s="11">
        <v>40</v>
      </c>
      <c r="D20" s="11">
        <v>132</v>
      </c>
      <c r="E20" s="11">
        <v>20</v>
      </c>
      <c r="F20" s="13">
        <v>30</v>
      </c>
      <c r="K20">
        <f>INDEX(OutputValues,16,$J$4)</f>
        <v>402.19998741149902</v>
      </c>
    </row>
  </sheetData>
  <dataValidations count="1">
    <dataValidation type="list" allowBlank="1" showInputMessage="1" showErrorMessage="1" sqref="K4" xr:uid="{48A339A9-9DB2-4A6A-921D-58A6A5655029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B9E6-C8E0-4385-8E64-49079F6A6CF8}">
  <dimension ref="A1:K25"/>
  <sheetViews>
    <sheetView topLeftCell="A5" workbookViewId="0">
      <selection activeCell="O24" sqref="O24"/>
    </sheetView>
  </sheetViews>
  <sheetFormatPr defaultColWidth="8.85546875" defaultRowHeight="15" x14ac:dyDescent="0.25"/>
  <sheetData>
    <row r="1" spans="1:11" x14ac:dyDescent="0.25">
      <c r="A1" s="2" t="s">
        <v>101</v>
      </c>
      <c r="K1" s="9" t="str">
        <f>CONCATENATE("Sensitivity of ",$K$4," to ","Profit per Hawaiian pizza ")</f>
        <v xml:space="preserve">Sensitivity of $D$15 to Profit per Hawaiian pizza </v>
      </c>
    </row>
    <row r="3" spans="1:11" x14ac:dyDescent="0.25">
      <c r="A3" t="s">
        <v>143</v>
      </c>
      <c r="K3" t="s">
        <v>89</v>
      </c>
    </row>
    <row r="4" spans="1:11" ht="33" x14ac:dyDescent="0.25">
      <c r="B4" s="18" t="s">
        <v>86</v>
      </c>
      <c r="C4" s="18" t="s">
        <v>55</v>
      </c>
      <c r="D4" s="18" t="s">
        <v>56</v>
      </c>
      <c r="E4" s="18" t="s">
        <v>57</v>
      </c>
      <c r="F4" s="18" t="s">
        <v>58</v>
      </c>
      <c r="J4" s="9">
        <f>MATCH($K$4,OutputAddresses,0)</f>
        <v>1</v>
      </c>
      <c r="K4" s="8" t="s">
        <v>86</v>
      </c>
    </row>
    <row r="5" spans="1:11" x14ac:dyDescent="0.25">
      <c r="A5" s="17">
        <v>0.5</v>
      </c>
      <c r="B5" s="14">
        <v>377.99998760223389</v>
      </c>
      <c r="C5" s="19">
        <v>40</v>
      </c>
      <c r="D5" s="19">
        <v>130</v>
      </c>
      <c r="E5" s="19">
        <v>20</v>
      </c>
      <c r="F5" s="20">
        <v>30</v>
      </c>
      <c r="K5">
        <f>INDEX(OutputValues,1,$J$4)</f>
        <v>377.99998760223389</v>
      </c>
    </row>
    <row r="6" spans="1:11" x14ac:dyDescent="0.25">
      <c r="A6" s="17">
        <v>0.60000002384185791</v>
      </c>
      <c r="B6" s="15">
        <v>379.99998807907104</v>
      </c>
      <c r="C6" s="10">
        <v>40</v>
      </c>
      <c r="D6" s="10">
        <v>130</v>
      </c>
      <c r="E6" s="10">
        <v>20</v>
      </c>
      <c r="F6" s="12">
        <v>30</v>
      </c>
      <c r="K6">
        <f>INDEX(OutputValues,2,$J$4)</f>
        <v>379.99998807907104</v>
      </c>
    </row>
    <row r="7" spans="1:11" x14ac:dyDescent="0.25">
      <c r="A7" s="17">
        <v>0.69999998807907104</v>
      </c>
      <c r="B7" s="15">
        <v>381.99998736381531</v>
      </c>
      <c r="C7" s="10">
        <v>40</v>
      </c>
      <c r="D7" s="10">
        <v>130</v>
      </c>
      <c r="E7" s="10">
        <v>20</v>
      </c>
      <c r="F7" s="12">
        <v>30</v>
      </c>
      <c r="K7">
        <f>INDEX(OutputValues,3,$J$4)</f>
        <v>381.99998736381531</v>
      </c>
    </row>
    <row r="8" spans="1:11" x14ac:dyDescent="0.25">
      <c r="A8" s="17">
        <v>0.80000001192092896</v>
      </c>
      <c r="B8" s="15">
        <v>383.99998784065247</v>
      </c>
      <c r="C8" s="10">
        <v>40</v>
      </c>
      <c r="D8" s="10">
        <v>130</v>
      </c>
      <c r="E8" s="10">
        <v>20</v>
      </c>
      <c r="F8" s="12">
        <v>30</v>
      </c>
      <c r="K8">
        <f>INDEX(OutputValues,4,$J$4)</f>
        <v>383.99998784065247</v>
      </c>
    </row>
    <row r="9" spans="1:11" x14ac:dyDescent="0.25">
      <c r="A9" s="17">
        <v>0.89999997615814209</v>
      </c>
      <c r="B9" s="15">
        <v>385.99998712539673</v>
      </c>
      <c r="C9" s="10">
        <v>40</v>
      </c>
      <c r="D9" s="10">
        <v>130</v>
      </c>
      <c r="E9" s="10">
        <v>20</v>
      </c>
      <c r="F9" s="12">
        <v>30</v>
      </c>
      <c r="K9">
        <f>INDEX(OutputValues,5,$J$4)</f>
        <v>385.99998712539673</v>
      </c>
    </row>
    <row r="10" spans="1:11" x14ac:dyDescent="0.25">
      <c r="A10" s="17">
        <v>1</v>
      </c>
      <c r="B10" s="15">
        <v>387.99998760223389</v>
      </c>
      <c r="C10" s="10">
        <v>40</v>
      </c>
      <c r="D10" s="10">
        <v>130</v>
      </c>
      <c r="E10" s="10">
        <v>20</v>
      </c>
      <c r="F10" s="12">
        <v>30</v>
      </c>
      <c r="K10">
        <f>INDEX(OutputValues,6,$J$4)</f>
        <v>387.99998760223389</v>
      </c>
    </row>
    <row r="11" spans="1:11" x14ac:dyDescent="0.25">
      <c r="A11" s="17">
        <v>1.1000000238418579</v>
      </c>
      <c r="B11" s="15">
        <v>389.99998807907104</v>
      </c>
      <c r="C11" s="10">
        <v>40</v>
      </c>
      <c r="D11" s="10">
        <v>130</v>
      </c>
      <c r="E11" s="10">
        <v>20</v>
      </c>
      <c r="F11" s="12">
        <v>30</v>
      </c>
      <c r="K11">
        <f>INDEX(OutputValues,7,$J$4)</f>
        <v>389.99998807907104</v>
      </c>
    </row>
    <row r="12" spans="1:11" x14ac:dyDescent="0.25">
      <c r="A12" s="17">
        <v>1.2000000476837158</v>
      </c>
      <c r="B12" s="15">
        <v>391.9999885559082</v>
      </c>
      <c r="C12" s="10">
        <v>40</v>
      </c>
      <c r="D12" s="10">
        <v>130</v>
      </c>
      <c r="E12" s="10">
        <v>20</v>
      </c>
      <c r="F12" s="12">
        <v>30</v>
      </c>
      <c r="K12">
        <f>INDEX(OutputValues,8,$J$4)</f>
        <v>391.9999885559082</v>
      </c>
    </row>
    <row r="13" spans="1:11" x14ac:dyDescent="0.25">
      <c r="A13" s="17">
        <v>1.2999999523162842</v>
      </c>
      <c r="B13" s="15">
        <v>393.99998664855957</v>
      </c>
      <c r="C13" s="10">
        <v>40</v>
      </c>
      <c r="D13" s="10">
        <v>130</v>
      </c>
      <c r="E13" s="10">
        <v>20</v>
      </c>
      <c r="F13" s="12">
        <v>30</v>
      </c>
      <c r="K13">
        <f>INDEX(OutputValues,9,$J$4)</f>
        <v>393.99998664855957</v>
      </c>
    </row>
    <row r="14" spans="1:11" x14ac:dyDescent="0.25">
      <c r="A14" s="17">
        <v>1.3999999761581421</v>
      </c>
      <c r="B14" s="15">
        <v>395.99998712539673</v>
      </c>
      <c r="C14" s="10">
        <v>40</v>
      </c>
      <c r="D14" s="10">
        <v>130</v>
      </c>
      <c r="E14" s="10">
        <v>20</v>
      </c>
      <c r="F14" s="12">
        <v>30</v>
      </c>
      <c r="K14">
        <f>INDEX(OutputValues,10,$J$4)</f>
        <v>395.99998712539673</v>
      </c>
    </row>
    <row r="15" spans="1:11" x14ac:dyDescent="0.25">
      <c r="A15" s="17">
        <v>1.5</v>
      </c>
      <c r="B15" s="15">
        <v>397.99998760223389</v>
      </c>
      <c r="C15" s="10">
        <v>40</v>
      </c>
      <c r="D15" s="10">
        <v>130</v>
      </c>
      <c r="E15" s="10">
        <v>20</v>
      </c>
      <c r="F15" s="12">
        <v>30</v>
      </c>
      <c r="K15">
        <f>INDEX(OutputValues,11,$J$4)</f>
        <v>397.99998760223389</v>
      </c>
    </row>
    <row r="16" spans="1:11" x14ac:dyDescent="0.25">
      <c r="A16" s="17">
        <v>1.6000000238418579</v>
      </c>
      <c r="B16" s="15">
        <v>399.99998807907104</v>
      </c>
      <c r="C16" s="10">
        <v>40</v>
      </c>
      <c r="D16" s="10">
        <v>130</v>
      </c>
      <c r="E16" s="10">
        <v>20</v>
      </c>
      <c r="F16" s="12">
        <v>30</v>
      </c>
      <c r="K16">
        <f>INDEX(OutputValues,12,$J$4)</f>
        <v>399.99998807907104</v>
      </c>
    </row>
    <row r="17" spans="1:11" x14ac:dyDescent="0.25">
      <c r="A17" s="17">
        <v>1.7000000476837158</v>
      </c>
      <c r="B17" s="15">
        <v>401.9999885559082</v>
      </c>
      <c r="C17" s="10">
        <v>40</v>
      </c>
      <c r="D17" s="10">
        <v>130</v>
      </c>
      <c r="E17" s="10">
        <v>20</v>
      </c>
      <c r="F17" s="12">
        <v>30</v>
      </c>
      <c r="K17">
        <f>INDEX(OutputValues,13,$J$4)</f>
        <v>401.9999885559082</v>
      </c>
    </row>
    <row r="18" spans="1:11" x14ac:dyDescent="0.25">
      <c r="A18" s="17">
        <v>1.8000000715255737</v>
      </c>
      <c r="B18" s="15">
        <v>403.99998903274536</v>
      </c>
      <c r="C18" s="10">
        <v>40</v>
      </c>
      <c r="D18" s="10">
        <v>130</v>
      </c>
      <c r="E18" s="10">
        <v>20</v>
      </c>
      <c r="F18" s="12">
        <v>30</v>
      </c>
      <c r="K18">
        <f>INDEX(OutputValues,14,$J$4)</f>
        <v>403.99998903274536</v>
      </c>
    </row>
    <row r="19" spans="1:11" x14ac:dyDescent="0.25">
      <c r="A19" s="17">
        <v>1.8999999761581421</v>
      </c>
      <c r="B19" s="15">
        <v>405.99998712539673</v>
      </c>
      <c r="C19" s="10">
        <v>40</v>
      </c>
      <c r="D19" s="10">
        <v>130</v>
      </c>
      <c r="E19" s="10">
        <v>20</v>
      </c>
      <c r="F19" s="12">
        <v>30</v>
      </c>
      <c r="K19">
        <f>INDEX(OutputValues,15,$J$4)</f>
        <v>405.99998712539673</v>
      </c>
    </row>
    <row r="20" spans="1:11" x14ac:dyDescent="0.25">
      <c r="A20" s="17">
        <v>2</v>
      </c>
      <c r="B20" s="15">
        <v>407.99998760223389</v>
      </c>
      <c r="C20" s="10">
        <v>40</v>
      </c>
      <c r="D20" s="10">
        <v>130</v>
      </c>
      <c r="E20" s="10">
        <v>20</v>
      </c>
      <c r="F20" s="12">
        <v>30</v>
      </c>
      <c r="K20">
        <f>INDEX(OutputValues,16,$J$4)</f>
        <v>407.99998760223389</v>
      </c>
    </row>
    <row r="21" spans="1:11" x14ac:dyDescent="0.25">
      <c r="A21" s="17">
        <v>2.0999999046325684</v>
      </c>
      <c r="B21" s="15">
        <v>409.9999856948852</v>
      </c>
      <c r="C21" s="10">
        <v>40</v>
      </c>
      <c r="D21" s="10">
        <v>123.33333333333333</v>
      </c>
      <c r="E21" s="10">
        <v>26.666666666666664</v>
      </c>
      <c r="F21" s="12">
        <v>30</v>
      </c>
      <c r="K21">
        <f>INDEX(OutputValues,17,$J$4)</f>
        <v>409.9999856948852</v>
      </c>
    </row>
    <row r="22" spans="1:11" x14ac:dyDescent="0.25">
      <c r="A22" s="17">
        <v>2.2000000476837158</v>
      </c>
      <c r="B22" s="15">
        <v>412.66665617624915</v>
      </c>
      <c r="C22" s="10">
        <v>40</v>
      </c>
      <c r="D22" s="10">
        <v>123.33333333333333</v>
      </c>
      <c r="E22" s="10">
        <v>26.666666666666664</v>
      </c>
      <c r="F22" s="12">
        <v>30</v>
      </c>
      <c r="K22">
        <f>INDEX(OutputValues,18,$J$4)</f>
        <v>412.66665617624915</v>
      </c>
    </row>
    <row r="23" spans="1:11" x14ac:dyDescent="0.25">
      <c r="A23" s="17">
        <v>2.2999999523162842</v>
      </c>
      <c r="B23" s="15">
        <v>415.3333202997843</v>
      </c>
      <c r="C23" s="10">
        <v>40</v>
      </c>
      <c r="D23" s="10">
        <v>123.33333333333333</v>
      </c>
      <c r="E23" s="10">
        <v>26.666666666666664</v>
      </c>
      <c r="F23" s="12">
        <v>30</v>
      </c>
      <c r="K23">
        <f>INDEX(OutputValues,19,$J$4)</f>
        <v>415.3333202997843</v>
      </c>
    </row>
    <row r="24" spans="1:11" x14ac:dyDescent="0.25">
      <c r="A24" s="17">
        <v>2.4000000953674316</v>
      </c>
      <c r="B24" s="15">
        <v>417.9999907811482</v>
      </c>
      <c r="C24" s="10">
        <v>40</v>
      </c>
      <c r="D24" s="10">
        <v>123.33333333333333</v>
      </c>
      <c r="E24" s="10">
        <v>26.666666666666664</v>
      </c>
      <c r="F24" s="12">
        <v>30</v>
      </c>
      <c r="K24">
        <f>INDEX(OutputValues,20,$J$4)</f>
        <v>417.9999907811482</v>
      </c>
    </row>
    <row r="25" spans="1:11" x14ac:dyDescent="0.25">
      <c r="A25" s="17">
        <v>2.5</v>
      </c>
      <c r="B25" s="16">
        <v>420.66665490468336</v>
      </c>
      <c r="C25" s="11">
        <v>40</v>
      </c>
      <c r="D25" s="11">
        <v>123.33333333333333</v>
      </c>
      <c r="E25" s="11">
        <v>26.666666666666664</v>
      </c>
      <c r="F25" s="13">
        <v>30</v>
      </c>
      <c r="K25">
        <f>INDEX(OutputValues,21,$J$4)</f>
        <v>420.66665490468336</v>
      </c>
    </row>
  </sheetData>
  <dataValidations count="1">
    <dataValidation type="list" allowBlank="1" showInputMessage="1" showErrorMessage="1" sqref="K4" xr:uid="{09E4F125-3D43-4FE7-8E61-6EDE7C1658EF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F1B1-91B0-4E8A-8C8C-52661865E587}">
  <dimension ref="A1:AZ117"/>
  <sheetViews>
    <sheetView zoomScale="90" zoomScaleNormal="90" workbookViewId="0">
      <selection activeCell="M20" sqref="M20"/>
    </sheetView>
  </sheetViews>
  <sheetFormatPr defaultColWidth="8.85546875" defaultRowHeight="15" x14ac:dyDescent="0.25"/>
  <cols>
    <col min="1" max="1" width="6.140625" bestFit="1" customWidth="1"/>
  </cols>
  <sheetData>
    <row r="1" spans="1:52" x14ac:dyDescent="0.25">
      <c r="A1" s="2" t="s">
        <v>102</v>
      </c>
      <c r="M1" s="9" t="str">
        <f>CONCATENATE("Sensitivity of ",$M$4," to ","Max storage capacity per week")</f>
        <v>Sensitivity of $D$15 to Max storage capacity per week</v>
      </c>
      <c r="Q1" s="9" t="str">
        <f>CONCATENATE("Sensitivity of ",$Q$4," to ","Profit per Hawaiian pizza ")</f>
        <v xml:space="preserve">Sensitivity of $D$15 to Profit per Hawaiian pizza </v>
      </c>
    </row>
    <row r="2" spans="1:52" x14ac:dyDescent="0.25">
      <c r="M2" t="s">
        <v>116</v>
      </c>
      <c r="Q2" t="s">
        <v>106</v>
      </c>
      <c r="AZ2" t="s">
        <v>86</v>
      </c>
    </row>
    <row r="3" spans="1:52" x14ac:dyDescent="0.25">
      <c r="A3" t="s">
        <v>115</v>
      </c>
      <c r="M3" t="s">
        <v>87</v>
      </c>
      <c r="N3" t="s">
        <v>117</v>
      </c>
      <c r="Q3" t="s">
        <v>87</v>
      </c>
      <c r="R3" t="s">
        <v>107</v>
      </c>
      <c r="AZ3" t="s">
        <v>55</v>
      </c>
    </row>
    <row r="4" spans="1:52" ht="33" x14ac:dyDescent="0.25">
      <c r="A4" s="6" t="s">
        <v>86</v>
      </c>
      <c r="B4" s="5">
        <v>150</v>
      </c>
      <c r="C4" s="5">
        <v>170</v>
      </c>
      <c r="D4" s="5">
        <v>190</v>
      </c>
      <c r="E4" s="5">
        <v>210</v>
      </c>
      <c r="F4" s="5">
        <v>230</v>
      </c>
      <c r="G4" s="5">
        <v>250</v>
      </c>
      <c r="H4" s="5">
        <v>270</v>
      </c>
      <c r="I4" s="5">
        <v>290</v>
      </c>
      <c r="J4" s="5">
        <v>310</v>
      </c>
      <c r="K4" s="5">
        <v>330</v>
      </c>
      <c r="L4" s="9">
        <f>MATCH($M$4,OutputAddresses,0)</f>
        <v>1</v>
      </c>
      <c r="M4" s="8" t="s">
        <v>86</v>
      </c>
      <c r="N4" s="7">
        <v>0.5</v>
      </c>
      <c r="O4" s="9">
        <f>MATCH($N$4,InputValues1,0)</f>
        <v>1</v>
      </c>
      <c r="P4" s="9">
        <f>MATCH($Q$4,OutputAddresses,0)</f>
        <v>1</v>
      </c>
      <c r="Q4" s="8" t="s">
        <v>86</v>
      </c>
      <c r="R4" s="7">
        <v>150</v>
      </c>
      <c r="S4" s="9">
        <f>MATCH($R$4,InputValues2,0)</f>
        <v>1</v>
      </c>
      <c r="AZ4" t="s">
        <v>56</v>
      </c>
    </row>
    <row r="5" spans="1:52" x14ac:dyDescent="0.25">
      <c r="A5" s="17">
        <v>0.5</v>
      </c>
      <c r="B5" s="14">
        <v>230.9999942779541</v>
      </c>
      <c r="C5" s="19">
        <v>272.99999237060547</v>
      </c>
      <c r="D5" s="19">
        <v>314.99999046325684</v>
      </c>
      <c r="E5" s="19">
        <v>356.9999885559082</v>
      </c>
      <c r="F5" s="19">
        <v>382.19998741149902</v>
      </c>
      <c r="G5" s="19">
        <v>382.19998741149902</v>
      </c>
      <c r="H5" s="19">
        <v>382.19998741149902</v>
      </c>
      <c r="I5" s="19">
        <v>382.19998741149902</v>
      </c>
      <c r="J5" s="19">
        <v>382.19998741149902</v>
      </c>
      <c r="K5" s="20">
        <v>382.19998741149902</v>
      </c>
      <c r="L5" s="9" t="str">
        <f>"OutputValues_"&amp;$L$4</f>
        <v>OutputValues_1</v>
      </c>
      <c r="M5">
        <f ca="1">INDEX(INDIRECT($L$5),$O$4,1)</f>
        <v>230.9999942779541</v>
      </c>
      <c r="P5" s="9" t="str">
        <f>"OutputValues_"&amp;$P$4</f>
        <v>OutputValues_1</v>
      </c>
      <c r="Q5">
        <f ca="1">INDEX(INDIRECT($P$5),1,$S$4)</f>
        <v>230.9999942779541</v>
      </c>
      <c r="AZ5" t="s">
        <v>57</v>
      </c>
    </row>
    <row r="6" spans="1:52" x14ac:dyDescent="0.25">
      <c r="A6" s="17">
        <v>0.60000002384185791</v>
      </c>
      <c r="B6" s="15">
        <v>232.99999475479126</v>
      </c>
      <c r="C6" s="10">
        <v>274.99999284744263</v>
      </c>
      <c r="D6" s="10">
        <v>316.99999094009399</v>
      </c>
      <c r="E6" s="10">
        <v>358.99998903274536</v>
      </c>
      <c r="F6" s="10">
        <v>384.19998788833618</v>
      </c>
      <c r="G6" s="10">
        <v>384.19998788833618</v>
      </c>
      <c r="H6" s="10">
        <v>384.19998788833618</v>
      </c>
      <c r="I6" s="10">
        <v>384.19998788833618</v>
      </c>
      <c r="J6" s="10">
        <v>384.19998788833618</v>
      </c>
      <c r="K6" s="12">
        <v>384.19998788833618</v>
      </c>
      <c r="M6">
        <f ca="1">INDEX(INDIRECT($L$5),$O$4,2)</f>
        <v>272.99999237060547</v>
      </c>
      <c r="Q6">
        <f ca="1">INDEX(INDIRECT($P$5),2,$S$4)</f>
        <v>232.99999475479126</v>
      </c>
      <c r="AZ6" t="s">
        <v>58</v>
      </c>
    </row>
    <row r="7" spans="1:52" x14ac:dyDescent="0.25">
      <c r="A7" s="17">
        <v>0.69999998807907104</v>
      </c>
      <c r="B7" s="15">
        <v>234.99999403953552</v>
      </c>
      <c r="C7" s="10">
        <v>276.99999213218689</v>
      </c>
      <c r="D7" s="10">
        <v>318.99999022483826</v>
      </c>
      <c r="E7" s="10">
        <v>360.99998831748962</v>
      </c>
      <c r="F7" s="10">
        <v>386.19998717308044</v>
      </c>
      <c r="G7" s="10">
        <v>386.19998717308044</v>
      </c>
      <c r="H7" s="10">
        <v>386.19998717308044</v>
      </c>
      <c r="I7" s="10">
        <v>386.19998717308044</v>
      </c>
      <c r="J7" s="10">
        <v>386.19998717308044</v>
      </c>
      <c r="K7" s="12">
        <v>386.19998717308044</v>
      </c>
      <c r="M7">
        <f ca="1">INDEX(INDIRECT($L$5),$O$4,3)</f>
        <v>314.99999046325684</v>
      </c>
      <c r="Q7">
        <f ca="1">INDEX(INDIRECT($P$5),3,$S$4)</f>
        <v>234.99999403953552</v>
      </c>
    </row>
    <row r="8" spans="1:52" x14ac:dyDescent="0.25">
      <c r="A8" s="17">
        <v>0.80000001192092896</v>
      </c>
      <c r="B8" s="15">
        <v>236.99999451637268</v>
      </c>
      <c r="C8" s="10">
        <v>278.99999260902405</v>
      </c>
      <c r="D8" s="10">
        <v>320.99999070167542</v>
      </c>
      <c r="E8" s="10">
        <v>362.99998879432678</v>
      </c>
      <c r="F8" s="10">
        <v>388.1999876499176</v>
      </c>
      <c r="G8" s="10">
        <v>388.1999876499176</v>
      </c>
      <c r="H8" s="10">
        <v>388.1999876499176</v>
      </c>
      <c r="I8" s="10">
        <v>388.1999876499176</v>
      </c>
      <c r="J8" s="10">
        <v>388.1999876499176</v>
      </c>
      <c r="K8" s="12">
        <v>388.1999876499176</v>
      </c>
      <c r="M8">
        <f ca="1">INDEX(INDIRECT($L$5),$O$4,4)</f>
        <v>356.9999885559082</v>
      </c>
      <c r="Q8">
        <f ca="1">INDEX(INDIRECT($P$5),4,$S$4)</f>
        <v>236.99999451637268</v>
      </c>
    </row>
    <row r="9" spans="1:52" x14ac:dyDescent="0.25">
      <c r="A9" s="17">
        <v>0.89999997615814209</v>
      </c>
      <c r="B9" s="15">
        <v>238.99999380111694</v>
      </c>
      <c r="C9" s="10">
        <v>280.99999189376831</v>
      </c>
      <c r="D9" s="10">
        <v>322.99998998641968</v>
      </c>
      <c r="E9" s="10">
        <v>364.99998807907104</v>
      </c>
      <c r="F9" s="10">
        <v>390.19998693466187</v>
      </c>
      <c r="G9" s="10">
        <v>390.19998693466187</v>
      </c>
      <c r="H9" s="10">
        <v>390.19998693466187</v>
      </c>
      <c r="I9" s="10">
        <v>390.19998693466187</v>
      </c>
      <c r="J9" s="10">
        <v>390.19998693466187</v>
      </c>
      <c r="K9" s="12">
        <v>390.19998693466187</v>
      </c>
      <c r="M9">
        <f ca="1">INDEX(INDIRECT($L$5),$O$4,5)</f>
        <v>382.19998741149902</v>
      </c>
      <c r="Q9">
        <f ca="1">INDEX(INDIRECT($P$5),5,$S$4)</f>
        <v>238.99999380111694</v>
      </c>
    </row>
    <row r="10" spans="1:52" x14ac:dyDescent="0.25">
      <c r="A10" s="17">
        <v>1</v>
      </c>
      <c r="B10" s="15">
        <v>240.9999942779541</v>
      </c>
      <c r="C10" s="10">
        <v>282.99999237060547</v>
      </c>
      <c r="D10" s="10">
        <v>324.99999046325684</v>
      </c>
      <c r="E10" s="10">
        <v>366.9999885559082</v>
      </c>
      <c r="F10" s="10">
        <v>392.19998741149902</v>
      </c>
      <c r="G10" s="10">
        <v>392.19998741149902</v>
      </c>
      <c r="H10" s="10">
        <v>392.19998741149902</v>
      </c>
      <c r="I10" s="10">
        <v>392.19998741149902</v>
      </c>
      <c r="J10" s="10">
        <v>392.19998741149902</v>
      </c>
      <c r="K10" s="12">
        <v>392.19998741149902</v>
      </c>
      <c r="M10">
        <f ca="1">INDEX(INDIRECT($L$5),$O$4,6)</f>
        <v>382.19998741149902</v>
      </c>
      <c r="Q10">
        <f ca="1">INDEX(INDIRECT($P$5),6,$S$4)</f>
        <v>240.9999942779541</v>
      </c>
    </row>
    <row r="11" spans="1:52" x14ac:dyDescent="0.25">
      <c r="A11" s="17">
        <v>1.1000000238418579</v>
      </c>
      <c r="B11" s="15">
        <v>242.99999475479126</v>
      </c>
      <c r="C11" s="10">
        <v>284.99999284744263</v>
      </c>
      <c r="D11" s="10">
        <v>326.99999094009399</v>
      </c>
      <c r="E11" s="10">
        <v>368.99998903274536</v>
      </c>
      <c r="F11" s="10">
        <v>394.19998788833618</v>
      </c>
      <c r="G11" s="10">
        <v>394.19998788833618</v>
      </c>
      <c r="H11" s="10">
        <v>394.19998788833618</v>
      </c>
      <c r="I11" s="10">
        <v>394.19998788833618</v>
      </c>
      <c r="J11" s="10">
        <v>394.19998788833618</v>
      </c>
      <c r="K11" s="12">
        <v>394.19998788833618</v>
      </c>
      <c r="M11">
        <f ca="1">INDEX(INDIRECT($L$5),$O$4,7)</f>
        <v>382.19998741149902</v>
      </c>
      <c r="Q11">
        <f ca="1">INDEX(INDIRECT($P$5),7,$S$4)</f>
        <v>242.99999475479126</v>
      </c>
    </row>
    <row r="12" spans="1:52" x14ac:dyDescent="0.25">
      <c r="A12" s="17">
        <v>1.2000000476837158</v>
      </c>
      <c r="B12" s="15">
        <v>244.99999523162842</v>
      </c>
      <c r="C12" s="10">
        <v>286.99999332427979</v>
      </c>
      <c r="D12" s="10">
        <v>328.99999141693115</v>
      </c>
      <c r="E12" s="10">
        <v>370.99998950958252</v>
      </c>
      <c r="F12" s="10">
        <v>396.19998836517334</v>
      </c>
      <c r="G12" s="10">
        <v>396.19998836517334</v>
      </c>
      <c r="H12" s="10">
        <v>396.19998836517334</v>
      </c>
      <c r="I12" s="10">
        <v>396.19998836517334</v>
      </c>
      <c r="J12" s="10">
        <v>396.19998836517334</v>
      </c>
      <c r="K12" s="12">
        <v>396.19998836517334</v>
      </c>
      <c r="M12">
        <f ca="1">INDEX(INDIRECT($L$5),$O$4,8)</f>
        <v>382.19998741149902</v>
      </c>
      <c r="Q12">
        <f ca="1">INDEX(INDIRECT($P$5),8,$S$4)</f>
        <v>244.99999523162842</v>
      </c>
    </row>
    <row r="13" spans="1:52" x14ac:dyDescent="0.25">
      <c r="A13" s="17">
        <v>1.2999999523162842</v>
      </c>
      <c r="B13" s="15">
        <v>246.99999332427979</v>
      </c>
      <c r="C13" s="10">
        <v>288.99999141693115</v>
      </c>
      <c r="D13" s="10">
        <v>330.99998950958252</v>
      </c>
      <c r="E13" s="10">
        <v>372.99998760223389</v>
      </c>
      <c r="F13" s="10">
        <v>398.19998645782471</v>
      </c>
      <c r="G13" s="10">
        <v>398.19998645782471</v>
      </c>
      <c r="H13" s="10">
        <v>398.19998645782471</v>
      </c>
      <c r="I13" s="10">
        <v>398.19998645782471</v>
      </c>
      <c r="J13" s="10">
        <v>398.19998645782471</v>
      </c>
      <c r="K13" s="12">
        <v>398.19998645782471</v>
      </c>
      <c r="M13">
        <f ca="1">INDEX(INDIRECT($L$5),$O$4,9)</f>
        <v>382.19998741149902</v>
      </c>
      <c r="Q13">
        <f ca="1">INDEX(INDIRECT($P$5),9,$S$4)</f>
        <v>246.99999332427979</v>
      </c>
    </row>
    <row r="14" spans="1:52" x14ac:dyDescent="0.25">
      <c r="A14" s="17">
        <v>1.3999999761581421</v>
      </c>
      <c r="B14" s="15">
        <v>248.99999380111694</v>
      </c>
      <c r="C14" s="10">
        <v>290.99999189376831</v>
      </c>
      <c r="D14" s="10">
        <v>332.99998998641968</v>
      </c>
      <c r="E14" s="10">
        <v>374.99998807907104</v>
      </c>
      <c r="F14" s="10">
        <v>400.19998693466187</v>
      </c>
      <c r="G14" s="10">
        <v>400.19998693466187</v>
      </c>
      <c r="H14" s="10">
        <v>400.19998693466187</v>
      </c>
      <c r="I14" s="10">
        <v>400.19998693466187</v>
      </c>
      <c r="J14" s="10">
        <v>400.19998693466187</v>
      </c>
      <c r="K14" s="12">
        <v>400.19998693466187</v>
      </c>
      <c r="M14">
        <f ca="1">INDEX(INDIRECT($L$5),$O$4,10)</f>
        <v>382.19998741149902</v>
      </c>
      <c r="Q14">
        <f ca="1">INDEX(INDIRECT($P$5),10,$S$4)</f>
        <v>248.99999380111694</v>
      </c>
    </row>
    <row r="15" spans="1:52" x14ac:dyDescent="0.25">
      <c r="A15" s="17">
        <v>1.5</v>
      </c>
      <c r="B15" s="15">
        <v>250.9999942779541</v>
      </c>
      <c r="C15" s="10">
        <v>292.99999237060547</v>
      </c>
      <c r="D15" s="10">
        <v>334.99999046325684</v>
      </c>
      <c r="E15" s="10">
        <v>376.9999885559082</v>
      </c>
      <c r="F15" s="10">
        <v>402.19998741149902</v>
      </c>
      <c r="G15" s="10">
        <v>402.19998741149902</v>
      </c>
      <c r="H15" s="10">
        <v>402.19998741149902</v>
      </c>
      <c r="I15" s="10">
        <v>402.19998741149902</v>
      </c>
      <c r="J15" s="10">
        <v>402.19998741149902</v>
      </c>
      <c r="K15" s="12">
        <v>402.19998741149902</v>
      </c>
      <c r="Q15">
        <f ca="1">INDEX(INDIRECT($P$5),11,$S$4)</f>
        <v>250.9999942779541</v>
      </c>
    </row>
    <row r="16" spans="1:52" x14ac:dyDescent="0.25">
      <c r="A16" s="17">
        <v>1.6000000238418579</v>
      </c>
      <c r="B16" s="15">
        <v>252.99999475479126</v>
      </c>
      <c r="C16" s="10">
        <v>294.99999284744263</v>
      </c>
      <c r="D16" s="10">
        <v>336.99999094009399</v>
      </c>
      <c r="E16" s="10">
        <v>378.99998903274536</v>
      </c>
      <c r="F16" s="10">
        <v>404.19998788833618</v>
      </c>
      <c r="G16" s="10">
        <v>404.19998788833618</v>
      </c>
      <c r="H16" s="10">
        <v>404.19998788833618</v>
      </c>
      <c r="I16" s="10">
        <v>404.19998788833618</v>
      </c>
      <c r="J16" s="10">
        <v>404.19998788833618</v>
      </c>
      <c r="K16" s="12">
        <v>404.19998788833618</v>
      </c>
      <c r="Q16">
        <f ca="1">INDEX(INDIRECT($P$5),12,$S$4)</f>
        <v>252.99999475479126</v>
      </c>
    </row>
    <row r="17" spans="1:17" x14ac:dyDescent="0.25">
      <c r="A17" s="17">
        <v>1.7000000476837158</v>
      </c>
      <c r="B17" s="15">
        <v>254.99999523162842</v>
      </c>
      <c r="C17" s="10">
        <v>296.99999332427979</v>
      </c>
      <c r="D17" s="10">
        <v>338.99999141693115</v>
      </c>
      <c r="E17" s="10">
        <v>380.99998950958252</v>
      </c>
      <c r="F17" s="10">
        <v>406.33332252502447</v>
      </c>
      <c r="G17" s="10">
        <v>406.33332252502447</v>
      </c>
      <c r="H17" s="10">
        <v>406.33332252502447</v>
      </c>
      <c r="I17" s="10">
        <v>406.33332252502447</v>
      </c>
      <c r="J17" s="10">
        <v>406.33332252502447</v>
      </c>
      <c r="K17" s="12">
        <v>406.33332252502447</v>
      </c>
      <c r="Q17">
        <f ca="1">INDEX(INDIRECT($P$5),13,$S$4)</f>
        <v>254.99999523162842</v>
      </c>
    </row>
    <row r="18" spans="1:17" x14ac:dyDescent="0.25">
      <c r="A18" s="17">
        <v>1.8000000715255737</v>
      </c>
      <c r="B18" s="15">
        <v>256.99999570846558</v>
      </c>
      <c r="C18" s="10">
        <v>298.99999380111694</v>
      </c>
      <c r="D18" s="10">
        <v>340.99999189376831</v>
      </c>
      <c r="E18" s="10">
        <v>382.99998998641968</v>
      </c>
      <c r="F18" s="10">
        <v>408.999989827474</v>
      </c>
      <c r="G18" s="10">
        <v>408.999989827474</v>
      </c>
      <c r="H18" s="10">
        <v>408.999989827474</v>
      </c>
      <c r="I18" s="10">
        <v>408.999989827474</v>
      </c>
      <c r="J18" s="10">
        <v>408.999989827474</v>
      </c>
      <c r="K18" s="12">
        <v>408.999989827474</v>
      </c>
      <c r="Q18">
        <f ca="1">INDEX(INDIRECT($P$5),14,$S$4)</f>
        <v>256.99999570846558</v>
      </c>
    </row>
    <row r="19" spans="1:17" x14ac:dyDescent="0.25">
      <c r="A19" s="17">
        <v>1.8999999761581421</v>
      </c>
      <c r="B19" s="15">
        <v>258.99999380111694</v>
      </c>
      <c r="C19" s="10">
        <v>300.99999189376831</v>
      </c>
      <c r="D19" s="10">
        <v>342.99998998641968</v>
      </c>
      <c r="E19" s="10">
        <v>384.99998807907104</v>
      </c>
      <c r="F19" s="10">
        <v>411.66665395100915</v>
      </c>
      <c r="G19" s="10">
        <v>411.66665395100915</v>
      </c>
      <c r="H19" s="10">
        <v>411.66665395100915</v>
      </c>
      <c r="I19" s="10">
        <v>411.66665395100915</v>
      </c>
      <c r="J19" s="10">
        <v>411.66665395100915</v>
      </c>
      <c r="K19" s="12">
        <v>411.66665395100915</v>
      </c>
      <c r="Q19">
        <f ca="1">INDEX(INDIRECT($P$5),15,$S$4)</f>
        <v>258.99999380111694</v>
      </c>
    </row>
    <row r="20" spans="1:17" x14ac:dyDescent="0.25">
      <c r="A20" s="17">
        <v>2</v>
      </c>
      <c r="B20" s="15">
        <v>260.9999942779541</v>
      </c>
      <c r="C20" s="10">
        <v>302.99999237060547</v>
      </c>
      <c r="D20" s="10">
        <v>344.99999046325684</v>
      </c>
      <c r="E20" s="10">
        <v>386.9999885559082</v>
      </c>
      <c r="F20" s="10">
        <v>414.33332125345868</v>
      </c>
      <c r="G20" s="10">
        <v>414.33332125345868</v>
      </c>
      <c r="H20" s="10">
        <v>414.33332125345868</v>
      </c>
      <c r="I20" s="10">
        <v>414.33332125345868</v>
      </c>
      <c r="J20" s="10">
        <v>414.33332125345868</v>
      </c>
      <c r="K20" s="12">
        <v>414.33332125345868</v>
      </c>
      <c r="Q20">
        <f ca="1">INDEX(INDIRECT($P$5),16,$S$4)</f>
        <v>260.9999942779541</v>
      </c>
    </row>
    <row r="21" spans="1:17" x14ac:dyDescent="0.25">
      <c r="A21" s="17">
        <v>2.0999999046325684</v>
      </c>
      <c r="B21" s="15">
        <v>262.99999237060547</v>
      </c>
      <c r="C21" s="10">
        <v>304.99999046325684</v>
      </c>
      <c r="D21" s="10">
        <v>346.9999885559082</v>
      </c>
      <c r="E21" s="10">
        <v>388.99998664855951</v>
      </c>
      <c r="F21" s="10">
        <v>416.99998537699383</v>
      </c>
      <c r="G21" s="10">
        <v>416.99998537699383</v>
      </c>
      <c r="H21" s="10">
        <v>416.99998537699383</v>
      </c>
      <c r="I21" s="10">
        <v>416.99998537699383</v>
      </c>
      <c r="J21" s="10">
        <v>416.99998537699383</v>
      </c>
      <c r="K21" s="12">
        <v>416.99998537699383</v>
      </c>
      <c r="Q21">
        <f ca="1">INDEX(INDIRECT($P$5),17,$S$4)</f>
        <v>262.99999237060547</v>
      </c>
    </row>
    <row r="22" spans="1:17" x14ac:dyDescent="0.25">
      <c r="A22" s="17">
        <v>2.2000000476837158</v>
      </c>
      <c r="B22" s="15">
        <v>265.66666285196942</v>
      </c>
      <c r="C22" s="10">
        <v>307.66666094462079</v>
      </c>
      <c r="D22" s="10">
        <v>349.66665903727215</v>
      </c>
      <c r="E22" s="10">
        <v>391.66665712992346</v>
      </c>
      <c r="F22" s="10">
        <v>419.66665585835779</v>
      </c>
      <c r="G22" s="10">
        <v>419.66665585835779</v>
      </c>
      <c r="H22" s="10">
        <v>419.66665585835779</v>
      </c>
      <c r="I22" s="10">
        <v>419.66665585835779</v>
      </c>
      <c r="J22" s="10">
        <v>419.66665585835779</v>
      </c>
      <c r="K22" s="12">
        <v>419.66665585835779</v>
      </c>
      <c r="Q22">
        <f ca="1">INDEX(INDIRECT($P$5),18,$S$4)</f>
        <v>265.66666285196942</v>
      </c>
    </row>
    <row r="23" spans="1:17" x14ac:dyDescent="0.25">
      <c r="A23" s="17">
        <v>2.2999999523162842</v>
      </c>
      <c r="B23" s="15">
        <v>268.33332697550458</v>
      </c>
      <c r="C23" s="10">
        <v>310.33332506815594</v>
      </c>
      <c r="D23" s="10">
        <v>352.33332316080731</v>
      </c>
      <c r="E23" s="10">
        <v>394.33332125345862</v>
      </c>
      <c r="F23" s="10">
        <v>422.33331998189294</v>
      </c>
      <c r="G23" s="10">
        <v>422.33331998189294</v>
      </c>
      <c r="H23" s="10">
        <v>422.33331998189294</v>
      </c>
      <c r="I23" s="10">
        <v>422.33331998189294</v>
      </c>
      <c r="J23" s="10">
        <v>422.33331998189294</v>
      </c>
      <c r="K23" s="12">
        <v>422.33331998189294</v>
      </c>
      <c r="Q23">
        <f ca="1">INDEX(INDIRECT($P$5),19,$S$4)</f>
        <v>268.33332697550458</v>
      </c>
    </row>
    <row r="24" spans="1:17" x14ac:dyDescent="0.25">
      <c r="A24" s="17">
        <v>2.4000000953674316</v>
      </c>
      <c r="B24" s="15">
        <v>270.99999745686853</v>
      </c>
      <c r="C24" s="10">
        <v>312.99999554951989</v>
      </c>
      <c r="D24" s="10">
        <v>354.99999364217126</v>
      </c>
      <c r="E24" s="10">
        <v>396.99999173482252</v>
      </c>
      <c r="F24" s="10">
        <v>424.99999046325684</v>
      </c>
      <c r="G24" s="10">
        <v>424.99999046325684</v>
      </c>
      <c r="H24" s="10">
        <v>424.99999046325684</v>
      </c>
      <c r="I24" s="10">
        <v>424.99999046325684</v>
      </c>
      <c r="J24" s="10">
        <v>424.99999046325684</v>
      </c>
      <c r="K24" s="12">
        <v>424.99999046325684</v>
      </c>
      <c r="Q24">
        <f ca="1">INDEX(INDIRECT($P$5),20,$S$4)</f>
        <v>270.99999745686853</v>
      </c>
    </row>
    <row r="25" spans="1:17" x14ac:dyDescent="0.25">
      <c r="A25" s="17">
        <v>2.5</v>
      </c>
      <c r="B25" s="16">
        <v>273.66666158040368</v>
      </c>
      <c r="C25" s="11">
        <v>315.66665967305505</v>
      </c>
      <c r="D25" s="11">
        <v>357.66665776570642</v>
      </c>
      <c r="E25" s="11">
        <v>399.66665585835767</v>
      </c>
      <c r="F25" s="11">
        <v>427.66665458679199</v>
      </c>
      <c r="G25" s="11">
        <v>427.66665458679199</v>
      </c>
      <c r="H25" s="11">
        <v>427.66665458679199</v>
      </c>
      <c r="I25" s="11">
        <v>427.66665458679199</v>
      </c>
      <c r="J25" s="11">
        <v>427.66665458679199</v>
      </c>
      <c r="K25" s="13">
        <v>427.66665458679199</v>
      </c>
      <c r="Q25">
        <f ca="1">INDEX(INDIRECT($P$5),21,$S$4)</f>
        <v>273.66666158040368</v>
      </c>
    </row>
    <row r="27" spans="1:17" x14ac:dyDescent="0.25">
      <c r="A27" s="6" t="s">
        <v>55</v>
      </c>
      <c r="B27" s="5">
        <v>150</v>
      </c>
      <c r="C27" s="5">
        <v>170</v>
      </c>
      <c r="D27" s="5">
        <v>190</v>
      </c>
      <c r="E27" s="5">
        <v>210</v>
      </c>
      <c r="F27" s="5">
        <v>230</v>
      </c>
      <c r="G27" s="5">
        <v>250</v>
      </c>
      <c r="H27" s="5">
        <v>270</v>
      </c>
      <c r="I27" s="5">
        <v>290</v>
      </c>
      <c r="J27" s="5">
        <v>310</v>
      </c>
      <c r="K27" s="5">
        <v>330</v>
      </c>
    </row>
    <row r="28" spans="1:17" x14ac:dyDescent="0.25">
      <c r="A28" s="17">
        <v>0.5</v>
      </c>
      <c r="B28" s="14">
        <v>40</v>
      </c>
      <c r="C28" s="19">
        <v>40</v>
      </c>
      <c r="D28" s="19">
        <v>40</v>
      </c>
      <c r="E28" s="19">
        <v>40</v>
      </c>
      <c r="F28" s="19">
        <v>40</v>
      </c>
      <c r="G28" s="19">
        <v>40</v>
      </c>
      <c r="H28" s="19">
        <v>40</v>
      </c>
      <c r="I28" s="19">
        <v>40</v>
      </c>
      <c r="J28" s="19">
        <v>40</v>
      </c>
      <c r="K28" s="20">
        <v>40</v>
      </c>
    </row>
    <row r="29" spans="1:17" x14ac:dyDescent="0.25">
      <c r="A29" s="17">
        <v>0.60000002384185791</v>
      </c>
      <c r="B29" s="15">
        <v>40</v>
      </c>
      <c r="C29" s="10">
        <v>40</v>
      </c>
      <c r="D29" s="10">
        <v>40</v>
      </c>
      <c r="E29" s="10">
        <v>40</v>
      </c>
      <c r="F29" s="10">
        <v>40</v>
      </c>
      <c r="G29" s="10">
        <v>40</v>
      </c>
      <c r="H29" s="10">
        <v>40</v>
      </c>
      <c r="I29" s="10">
        <v>40</v>
      </c>
      <c r="J29" s="10">
        <v>40</v>
      </c>
      <c r="K29" s="12">
        <v>40</v>
      </c>
    </row>
    <row r="30" spans="1:17" x14ac:dyDescent="0.25">
      <c r="A30" s="17">
        <v>0.69999998807907104</v>
      </c>
      <c r="B30" s="15">
        <v>40</v>
      </c>
      <c r="C30" s="10">
        <v>40</v>
      </c>
      <c r="D30" s="10">
        <v>40</v>
      </c>
      <c r="E30" s="10">
        <v>40</v>
      </c>
      <c r="F30" s="10">
        <v>40</v>
      </c>
      <c r="G30" s="10">
        <v>40</v>
      </c>
      <c r="H30" s="10">
        <v>40</v>
      </c>
      <c r="I30" s="10">
        <v>40</v>
      </c>
      <c r="J30" s="10">
        <v>40</v>
      </c>
      <c r="K30" s="12">
        <v>40</v>
      </c>
    </row>
    <row r="31" spans="1:17" x14ac:dyDescent="0.25">
      <c r="A31" s="17">
        <v>0.80000001192092896</v>
      </c>
      <c r="B31" s="15">
        <v>40</v>
      </c>
      <c r="C31" s="10">
        <v>40</v>
      </c>
      <c r="D31" s="10">
        <v>40</v>
      </c>
      <c r="E31" s="10">
        <v>40</v>
      </c>
      <c r="F31" s="10">
        <v>40</v>
      </c>
      <c r="G31" s="10">
        <v>40</v>
      </c>
      <c r="H31" s="10">
        <v>40</v>
      </c>
      <c r="I31" s="10">
        <v>40</v>
      </c>
      <c r="J31" s="10">
        <v>40</v>
      </c>
      <c r="K31" s="12">
        <v>40</v>
      </c>
    </row>
    <row r="32" spans="1:17" x14ac:dyDescent="0.25">
      <c r="A32" s="17">
        <v>0.89999997615814209</v>
      </c>
      <c r="B32" s="15">
        <v>40</v>
      </c>
      <c r="C32" s="10">
        <v>40</v>
      </c>
      <c r="D32" s="10">
        <v>40</v>
      </c>
      <c r="E32" s="10">
        <v>40</v>
      </c>
      <c r="F32" s="10">
        <v>40</v>
      </c>
      <c r="G32" s="10">
        <v>40</v>
      </c>
      <c r="H32" s="10">
        <v>40</v>
      </c>
      <c r="I32" s="10">
        <v>40</v>
      </c>
      <c r="J32" s="10">
        <v>40</v>
      </c>
      <c r="K32" s="12">
        <v>40</v>
      </c>
    </row>
    <row r="33" spans="1:11" x14ac:dyDescent="0.25">
      <c r="A33" s="17">
        <v>1</v>
      </c>
      <c r="B33" s="15">
        <v>40</v>
      </c>
      <c r="C33" s="10">
        <v>40</v>
      </c>
      <c r="D33" s="10">
        <v>40</v>
      </c>
      <c r="E33" s="10">
        <v>40</v>
      </c>
      <c r="F33" s="10">
        <v>40</v>
      </c>
      <c r="G33" s="10">
        <v>40</v>
      </c>
      <c r="H33" s="10">
        <v>40</v>
      </c>
      <c r="I33" s="10">
        <v>40</v>
      </c>
      <c r="J33" s="10">
        <v>40</v>
      </c>
      <c r="K33" s="12">
        <v>40</v>
      </c>
    </row>
    <row r="34" spans="1:11" x14ac:dyDescent="0.25">
      <c r="A34" s="17">
        <v>1.1000000238418579</v>
      </c>
      <c r="B34" s="15">
        <v>40</v>
      </c>
      <c r="C34" s="10">
        <v>40</v>
      </c>
      <c r="D34" s="10">
        <v>40</v>
      </c>
      <c r="E34" s="10">
        <v>40</v>
      </c>
      <c r="F34" s="10">
        <v>40</v>
      </c>
      <c r="G34" s="10">
        <v>40</v>
      </c>
      <c r="H34" s="10">
        <v>40</v>
      </c>
      <c r="I34" s="10">
        <v>40</v>
      </c>
      <c r="J34" s="10">
        <v>40</v>
      </c>
      <c r="K34" s="12">
        <v>40</v>
      </c>
    </row>
    <row r="35" spans="1:11" x14ac:dyDescent="0.25">
      <c r="A35" s="17">
        <v>1.2000000476837158</v>
      </c>
      <c r="B35" s="15">
        <v>40</v>
      </c>
      <c r="C35" s="10">
        <v>40</v>
      </c>
      <c r="D35" s="10">
        <v>40</v>
      </c>
      <c r="E35" s="10">
        <v>40</v>
      </c>
      <c r="F35" s="10">
        <v>40</v>
      </c>
      <c r="G35" s="10">
        <v>40</v>
      </c>
      <c r="H35" s="10">
        <v>40</v>
      </c>
      <c r="I35" s="10">
        <v>40</v>
      </c>
      <c r="J35" s="10">
        <v>40</v>
      </c>
      <c r="K35" s="12">
        <v>40</v>
      </c>
    </row>
    <row r="36" spans="1:11" x14ac:dyDescent="0.25">
      <c r="A36" s="17">
        <v>1.2999999523162842</v>
      </c>
      <c r="B36" s="15">
        <v>40</v>
      </c>
      <c r="C36" s="10">
        <v>40</v>
      </c>
      <c r="D36" s="10">
        <v>40</v>
      </c>
      <c r="E36" s="10">
        <v>40</v>
      </c>
      <c r="F36" s="10">
        <v>40</v>
      </c>
      <c r="G36" s="10">
        <v>40</v>
      </c>
      <c r="H36" s="10">
        <v>40</v>
      </c>
      <c r="I36" s="10">
        <v>40</v>
      </c>
      <c r="J36" s="10">
        <v>40</v>
      </c>
      <c r="K36" s="12">
        <v>40</v>
      </c>
    </row>
    <row r="37" spans="1:11" x14ac:dyDescent="0.25">
      <c r="A37" s="17">
        <v>1.3999999761581421</v>
      </c>
      <c r="B37" s="15">
        <v>40</v>
      </c>
      <c r="C37" s="10">
        <v>40</v>
      </c>
      <c r="D37" s="10">
        <v>40</v>
      </c>
      <c r="E37" s="10">
        <v>40</v>
      </c>
      <c r="F37" s="10">
        <v>40</v>
      </c>
      <c r="G37" s="10">
        <v>40</v>
      </c>
      <c r="H37" s="10">
        <v>40</v>
      </c>
      <c r="I37" s="10">
        <v>40</v>
      </c>
      <c r="J37" s="10">
        <v>40</v>
      </c>
      <c r="K37" s="12">
        <v>40</v>
      </c>
    </row>
    <row r="38" spans="1:11" x14ac:dyDescent="0.25">
      <c r="A38" s="17">
        <v>1.5</v>
      </c>
      <c r="B38" s="15">
        <v>40</v>
      </c>
      <c r="C38" s="10">
        <v>40</v>
      </c>
      <c r="D38" s="10">
        <v>40</v>
      </c>
      <c r="E38" s="10">
        <v>40</v>
      </c>
      <c r="F38" s="10">
        <v>40</v>
      </c>
      <c r="G38" s="10">
        <v>40</v>
      </c>
      <c r="H38" s="10">
        <v>40</v>
      </c>
      <c r="I38" s="10">
        <v>40</v>
      </c>
      <c r="J38" s="10">
        <v>40</v>
      </c>
      <c r="K38" s="12">
        <v>40</v>
      </c>
    </row>
    <row r="39" spans="1:11" x14ac:dyDescent="0.25">
      <c r="A39" s="17">
        <v>1.6000000238418579</v>
      </c>
      <c r="B39" s="15">
        <v>40</v>
      </c>
      <c r="C39" s="10">
        <v>40</v>
      </c>
      <c r="D39" s="10">
        <v>40</v>
      </c>
      <c r="E39" s="10">
        <v>40</v>
      </c>
      <c r="F39" s="10">
        <v>40</v>
      </c>
      <c r="G39" s="10">
        <v>40</v>
      </c>
      <c r="H39" s="10">
        <v>40</v>
      </c>
      <c r="I39" s="10">
        <v>40</v>
      </c>
      <c r="J39" s="10">
        <v>40</v>
      </c>
      <c r="K39" s="12">
        <v>40</v>
      </c>
    </row>
    <row r="40" spans="1:11" x14ac:dyDescent="0.25">
      <c r="A40" s="17">
        <v>1.7000000476837158</v>
      </c>
      <c r="B40" s="15">
        <v>40</v>
      </c>
      <c r="C40" s="10">
        <v>40</v>
      </c>
      <c r="D40" s="10">
        <v>40</v>
      </c>
      <c r="E40" s="10">
        <v>40</v>
      </c>
      <c r="F40" s="10">
        <v>40</v>
      </c>
      <c r="G40" s="10">
        <v>40</v>
      </c>
      <c r="H40" s="10">
        <v>40</v>
      </c>
      <c r="I40" s="10">
        <v>40</v>
      </c>
      <c r="J40" s="10">
        <v>40</v>
      </c>
      <c r="K40" s="12">
        <v>40</v>
      </c>
    </row>
    <row r="41" spans="1:11" x14ac:dyDescent="0.25">
      <c r="A41" s="17">
        <v>1.8000000715255737</v>
      </c>
      <c r="B41" s="15">
        <v>40</v>
      </c>
      <c r="C41" s="10">
        <v>40</v>
      </c>
      <c r="D41" s="10">
        <v>40</v>
      </c>
      <c r="E41" s="10">
        <v>40</v>
      </c>
      <c r="F41" s="10">
        <v>40</v>
      </c>
      <c r="G41" s="10">
        <v>40</v>
      </c>
      <c r="H41" s="10">
        <v>40</v>
      </c>
      <c r="I41" s="10">
        <v>40</v>
      </c>
      <c r="J41" s="10">
        <v>40</v>
      </c>
      <c r="K41" s="12">
        <v>40</v>
      </c>
    </row>
    <row r="42" spans="1:11" x14ac:dyDescent="0.25">
      <c r="A42" s="17">
        <v>1.8999999761581421</v>
      </c>
      <c r="B42" s="15">
        <v>40</v>
      </c>
      <c r="C42" s="10">
        <v>40</v>
      </c>
      <c r="D42" s="10">
        <v>40</v>
      </c>
      <c r="E42" s="10">
        <v>40</v>
      </c>
      <c r="F42" s="10">
        <v>40</v>
      </c>
      <c r="G42" s="10">
        <v>40</v>
      </c>
      <c r="H42" s="10">
        <v>40</v>
      </c>
      <c r="I42" s="10">
        <v>40</v>
      </c>
      <c r="J42" s="10">
        <v>40</v>
      </c>
      <c r="K42" s="12">
        <v>40</v>
      </c>
    </row>
    <row r="43" spans="1:11" x14ac:dyDescent="0.25">
      <c r="A43" s="17">
        <v>2</v>
      </c>
      <c r="B43" s="15">
        <v>40</v>
      </c>
      <c r="C43" s="10">
        <v>40</v>
      </c>
      <c r="D43" s="10">
        <v>40</v>
      </c>
      <c r="E43" s="10">
        <v>40</v>
      </c>
      <c r="F43" s="10">
        <v>40</v>
      </c>
      <c r="G43" s="10">
        <v>40</v>
      </c>
      <c r="H43" s="10">
        <v>40</v>
      </c>
      <c r="I43" s="10">
        <v>40</v>
      </c>
      <c r="J43" s="10">
        <v>40</v>
      </c>
      <c r="K43" s="12">
        <v>40</v>
      </c>
    </row>
    <row r="44" spans="1:11" x14ac:dyDescent="0.25">
      <c r="A44" s="17">
        <v>2.0999999046325684</v>
      </c>
      <c r="B44" s="15">
        <v>40</v>
      </c>
      <c r="C44" s="10">
        <v>40</v>
      </c>
      <c r="D44" s="10">
        <v>40</v>
      </c>
      <c r="E44" s="10">
        <v>40</v>
      </c>
      <c r="F44" s="10">
        <v>40</v>
      </c>
      <c r="G44" s="10">
        <v>40</v>
      </c>
      <c r="H44" s="10">
        <v>40</v>
      </c>
      <c r="I44" s="10">
        <v>40</v>
      </c>
      <c r="J44" s="10">
        <v>40</v>
      </c>
      <c r="K44" s="12">
        <v>40</v>
      </c>
    </row>
    <row r="45" spans="1:11" x14ac:dyDescent="0.25">
      <c r="A45" s="17">
        <v>2.2000000476837158</v>
      </c>
      <c r="B45" s="15">
        <v>40</v>
      </c>
      <c r="C45" s="10">
        <v>40</v>
      </c>
      <c r="D45" s="10">
        <v>40</v>
      </c>
      <c r="E45" s="10">
        <v>40</v>
      </c>
      <c r="F45" s="10">
        <v>40</v>
      </c>
      <c r="G45" s="10">
        <v>40</v>
      </c>
      <c r="H45" s="10">
        <v>40</v>
      </c>
      <c r="I45" s="10">
        <v>40</v>
      </c>
      <c r="J45" s="10">
        <v>40</v>
      </c>
      <c r="K45" s="12">
        <v>40</v>
      </c>
    </row>
    <row r="46" spans="1:11" x14ac:dyDescent="0.25">
      <c r="A46" s="17">
        <v>2.2999999523162842</v>
      </c>
      <c r="B46" s="15">
        <v>40</v>
      </c>
      <c r="C46" s="10">
        <v>40</v>
      </c>
      <c r="D46" s="10">
        <v>40</v>
      </c>
      <c r="E46" s="10">
        <v>40</v>
      </c>
      <c r="F46" s="10">
        <v>40</v>
      </c>
      <c r="G46" s="10">
        <v>40</v>
      </c>
      <c r="H46" s="10">
        <v>40</v>
      </c>
      <c r="I46" s="10">
        <v>40</v>
      </c>
      <c r="J46" s="10">
        <v>40</v>
      </c>
      <c r="K46" s="12">
        <v>40</v>
      </c>
    </row>
    <row r="47" spans="1:11" x14ac:dyDescent="0.25">
      <c r="A47" s="17">
        <v>2.4000000953674316</v>
      </c>
      <c r="B47" s="15">
        <v>40</v>
      </c>
      <c r="C47" s="10">
        <v>40</v>
      </c>
      <c r="D47" s="10">
        <v>40</v>
      </c>
      <c r="E47" s="10">
        <v>40</v>
      </c>
      <c r="F47" s="10">
        <v>40</v>
      </c>
      <c r="G47" s="10">
        <v>40</v>
      </c>
      <c r="H47" s="10">
        <v>40</v>
      </c>
      <c r="I47" s="10">
        <v>40</v>
      </c>
      <c r="J47" s="10">
        <v>40</v>
      </c>
      <c r="K47" s="12">
        <v>40</v>
      </c>
    </row>
    <row r="48" spans="1:11" x14ac:dyDescent="0.25">
      <c r="A48" s="17">
        <v>2.5</v>
      </c>
      <c r="B48" s="16">
        <v>40</v>
      </c>
      <c r="C48" s="11">
        <v>40</v>
      </c>
      <c r="D48" s="11">
        <v>40</v>
      </c>
      <c r="E48" s="11">
        <v>40</v>
      </c>
      <c r="F48" s="11">
        <v>40</v>
      </c>
      <c r="G48" s="11">
        <v>40</v>
      </c>
      <c r="H48" s="11">
        <v>40</v>
      </c>
      <c r="I48" s="11">
        <v>40</v>
      </c>
      <c r="J48" s="11">
        <v>40</v>
      </c>
      <c r="K48" s="13">
        <v>40</v>
      </c>
    </row>
    <row r="50" spans="1:11" x14ac:dyDescent="0.25">
      <c r="A50" s="6" t="s">
        <v>56</v>
      </c>
      <c r="B50" s="5">
        <v>150</v>
      </c>
      <c r="C50" s="5">
        <v>170</v>
      </c>
      <c r="D50" s="5">
        <v>190</v>
      </c>
      <c r="E50" s="5">
        <v>210</v>
      </c>
      <c r="F50" s="5">
        <v>230</v>
      </c>
      <c r="G50" s="5">
        <v>250</v>
      </c>
      <c r="H50" s="5">
        <v>270</v>
      </c>
      <c r="I50" s="5">
        <v>290</v>
      </c>
      <c r="J50" s="5">
        <v>310</v>
      </c>
      <c r="K50" s="5">
        <v>330</v>
      </c>
    </row>
    <row r="51" spans="1:11" x14ac:dyDescent="0.25">
      <c r="A51" s="17">
        <v>0.5</v>
      </c>
      <c r="B51" s="14">
        <v>60</v>
      </c>
      <c r="C51" s="19">
        <v>80</v>
      </c>
      <c r="D51" s="19">
        <v>100</v>
      </c>
      <c r="E51" s="19">
        <v>120</v>
      </c>
      <c r="F51" s="19">
        <v>132</v>
      </c>
      <c r="G51" s="19">
        <v>132</v>
      </c>
      <c r="H51" s="19">
        <v>132</v>
      </c>
      <c r="I51" s="19">
        <v>132</v>
      </c>
      <c r="J51" s="19">
        <v>132</v>
      </c>
      <c r="K51" s="20">
        <v>132</v>
      </c>
    </row>
    <row r="52" spans="1:11" x14ac:dyDescent="0.25">
      <c r="A52" s="17">
        <v>0.60000002384185791</v>
      </c>
      <c r="B52" s="15">
        <v>60</v>
      </c>
      <c r="C52" s="10">
        <v>80</v>
      </c>
      <c r="D52" s="10">
        <v>100</v>
      </c>
      <c r="E52" s="10">
        <v>120</v>
      </c>
      <c r="F52" s="10">
        <v>132</v>
      </c>
      <c r="G52" s="10">
        <v>132</v>
      </c>
      <c r="H52" s="10">
        <v>132</v>
      </c>
      <c r="I52" s="10">
        <v>132</v>
      </c>
      <c r="J52" s="10">
        <v>132</v>
      </c>
      <c r="K52" s="12">
        <v>132</v>
      </c>
    </row>
    <row r="53" spans="1:11" x14ac:dyDescent="0.25">
      <c r="A53" s="17">
        <v>0.69999998807907104</v>
      </c>
      <c r="B53" s="15">
        <v>60</v>
      </c>
      <c r="C53" s="10">
        <v>80</v>
      </c>
      <c r="D53" s="10">
        <v>100</v>
      </c>
      <c r="E53" s="10">
        <v>120</v>
      </c>
      <c r="F53" s="10">
        <v>132</v>
      </c>
      <c r="G53" s="10">
        <v>132</v>
      </c>
      <c r="H53" s="10">
        <v>132</v>
      </c>
      <c r="I53" s="10">
        <v>132</v>
      </c>
      <c r="J53" s="10">
        <v>132</v>
      </c>
      <c r="K53" s="12">
        <v>132</v>
      </c>
    </row>
    <row r="54" spans="1:11" x14ac:dyDescent="0.25">
      <c r="A54" s="17">
        <v>0.80000001192092896</v>
      </c>
      <c r="B54" s="15">
        <v>60</v>
      </c>
      <c r="C54" s="10">
        <v>80</v>
      </c>
      <c r="D54" s="10">
        <v>100</v>
      </c>
      <c r="E54" s="10">
        <v>120</v>
      </c>
      <c r="F54" s="10">
        <v>132</v>
      </c>
      <c r="G54" s="10">
        <v>132</v>
      </c>
      <c r="H54" s="10">
        <v>132</v>
      </c>
      <c r="I54" s="10">
        <v>132</v>
      </c>
      <c r="J54" s="10">
        <v>132</v>
      </c>
      <c r="K54" s="12">
        <v>132</v>
      </c>
    </row>
    <row r="55" spans="1:11" x14ac:dyDescent="0.25">
      <c r="A55" s="17">
        <v>0.89999997615814209</v>
      </c>
      <c r="B55" s="15">
        <v>60</v>
      </c>
      <c r="C55" s="10">
        <v>80</v>
      </c>
      <c r="D55" s="10">
        <v>100</v>
      </c>
      <c r="E55" s="10">
        <v>120</v>
      </c>
      <c r="F55" s="10">
        <v>132</v>
      </c>
      <c r="G55" s="10">
        <v>132</v>
      </c>
      <c r="H55" s="10">
        <v>132</v>
      </c>
      <c r="I55" s="10">
        <v>132</v>
      </c>
      <c r="J55" s="10">
        <v>132</v>
      </c>
      <c r="K55" s="12">
        <v>132</v>
      </c>
    </row>
    <row r="56" spans="1:11" x14ac:dyDescent="0.25">
      <c r="A56" s="17">
        <v>1</v>
      </c>
      <c r="B56" s="15">
        <v>60</v>
      </c>
      <c r="C56" s="10">
        <v>80</v>
      </c>
      <c r="D56" s="10">
        <v>100</v>
      </c>
      <c r="E56" s="10">
        <v>120</v>
      </c>
      <c r="F56" s="10">
        <v>132</v>
      </c>
      <c r="G56" s="10">
        <v>132</v>
      </c>
      <c r="H56" s="10">
        <v>132</v>
      </c>
      <c r="I56" s="10">
        <v>132</v>
      </c>
      <c r="J56" s="10">
        <v>132</v>
      </c>
      <c r="K56" s="12">
        <v>132</v>
      </c>
    </row>
    <row r="57" spans="1:11" x14ac:dyDescent="0.25">
      <c r="A57" s="17">
        <v>1.1000000238418579</v>
      </c>
      <c r="B57" s="15">
        <v>60</v>
      </c>
      <c r="C57" s="10">
        <v>80</v>
      </c>
      <c r="D57" s="10">
        <v>100</v>
      </c>
      <c r="E57" s="10">
        <v>120</v>
      </c>
      <c r="F57" s="10">
        <v>132</v>
      </c>
      <c r="G57" s="10">
        <v>132</v>
      </c>
      <c r="H57" s="10">
        <v>132</v>
      </c>
      <c r="I57" s="10">
        <v>132</v>
      </c>
      <c r="J57" s="10">
        <v>132</v>
      </c>
      <c r="K57" s="12">
        <v>132</v>
      </c>
    </row>
    <row r="58" spans="1:11" x14ac:dyDescent="0.25">
      <c r="A58" s="17">
        <v>1.2000000476837158</v>
      </c>
      <c r="B58" s="15">
        <v>60</v>
      </c>
      <c r="C58" s="10">
        <v>80</v>
      </c>
      <c r="D58" s="10">
        <v>100</v>
      </c>
      <c r="E58" s="10">
        <v>120</v>
      </c>
      <c r="F58" s="10">
        <v>132</v>
      </c>
      <c r="G58" s="10">
        <v>132</v>
      </c>
      <c r="H58" s="10">
        <v>132</v>
      </c>
      <c r="I58" s="10">
        <v>132</v>
      </c>
      <c r="J58" s="10">
        <v>132</v>
      </c>
      <c r="K58" s="12">
        <v>132</v>
      </c>
    </row>
    <row r="59" spans="1:11" x14ac:dyDescent="0.25">
      <c r="A59" s="17">
        <v>1.2999999523162842</v>
      </c>
      <c r="B59" s="15">
        <v>60</v>
      </c>
      <c r="C59" s="10">
        <v>80</v>
      </c>
      <c r="D59" s="10">
        <v>100</v>
      </c>
      <c r="E59" s="10">
        <v>120</v>
      </c>
      <c r="F59" s="10">
        <v>132</v>
      </c>
      <c r="G59" s="10">
        <v>132</v>
      </c>
      <c r="H59" s="10">
        <v>132</v>
      </c>
      <c r="I59" s="10">
        <v>132</v>
      </c>
      <c r="J59" s="10">
        <v>132</v>
      </c>
      <c r="K59" s="12">
        <v>132</v>
      </c>
    </row>
    <row r="60" spans="1:11" x14ac:dyDescent="0.25">
      <c r="A60" s="17">
        <v>1.3999999761581421</v>
      </c>
      <c r="B60" s="15">
        <v>60</v>
      </c>
      <c r="C60" s="10">
        <v>80</v>
      </c>
      <c r="D60" s="10">
        <v>100</v>
      </c>
      <c r="E60" s="10">
        <v>120</v>
      </c>
      <c r="F60" s="10">
        <v>132</v>
      </c>
      <c r="G60" s="10">
        <v>132</v>
      </c>
      <c r="H60" s="10">
        <v>132</v>
      </c>
      <c r="I60" s="10">
        <v>132</v>
      </c>
      <c r="J60" s="10">
        <v>132</v>
      </c>
      <c r="K60" s="12">
        <v>132</v>
      </c>
    </row>
    <row r="61" spans="1:11" x14ac:dyDescent="0.25">
      <c r="A61" s="17">
        <v>1.5</v>
      </c>
      <c r="B61" s="15">
        <v>60</v>
      </c>
      <c r="C61" s="10">
        <v>80</v>
      </c>
      <c r="D61" s="10">
        <v>100</v>
      </c>
      <c r="E61" s="10">
        <v>120</v>
      </c>
      <c r="F61" s="10">
        <v>132</v>
      </c>
      <c r="G61" s="10">
        <v>132</v>
      </c>
      <c r="H61" s="10">
        <v>132</v>
      </c>
      <c r="I61" s="10">
        <v>132</v>
      </c>
      <c r="J61" s="10">
        <v>132</v>
      </c>
      <c r="K61" s="12">
        <v>132</v>
      </c>
    </row>
    <row r="62" spans="1:11" x14ac:dyDescent="0.25">
      <c r="A62" s="17">
        <v>1.6000000238418579</v>
      </c>
      <c r="B62" s="15">
        <v>60</v>
      </c>
      <c r="C62" s="10">
        <v>80</v>
      </c>
      <c r="D62" s="10">
        <v>100</v>
      </c>
      <c r="E62" s="10">
        <v>120</v>
      </c>
      <c r="F62" s="10">
        <v>132</v>
      </c>
      <c r="G62" s="10">
        <v>132</v>
      </c>
      <c r="H62" s="10">
        <v>132</v>
      </c>
      <c r="I62" s="10">
        <v>132</v>
      </c>
      <c r="J62" s="10">
        <v>132</v>
      </c>
      <c r="K62" s="12">
        <v>132</v>
      </c>
    </row>
    <row r="63" spans="1:11" x14ac:dyDescent="0.25">
      <c r="A63" s="17">
        <v>1.7000000476837158</v>
      </c>
      <c r="B63" s="15">
        <v>60</v>
      </c>
      <c r="C63" s="10">
        <v>80</v>
      </c>
      <c r="D63" s="10">
        <v>100</v>
      </c>
      <c r="E63" s="10">
        <v>120</v>
      </c>
      <c r="F63" s="10">
        <v>126.66666666666667</v>
      </c>
      <c r="G63" s="10">
        <v>126.66666666666667</v>
      </c>
      <c r="H63" s="10">
        <v>126.66666666666667</v>
      </c>
      <c r="I63" s="10">
        <v>126.66666666666667</v>
      </c>
      <c r="J63" s="10">
        <v>126.66666666666667</v>
      </c>
      <c r="K63" s="12">
        <v>126.66666666666667</v>
      </c>
    </row>
    <row r="64" spans="1:11" x14ac:dyDescent="0.25">
      <c r="A64" s="17">
        <v>1.8000000715255737</v>
      </c>
      <c r="B64" s="15">
        <v>60</v>
      </c>
      <c r="C64" s="10">
        <v>80</v>
      </c>
      <c r="D64" s="10">
        <v>100</v>
      </c>
      <c r="E64" s="10">
        <v>120</v>
      </c>
      <c r="F64" s="10">
        <v>126.66666666666667</v>
      </c>
      <c r="G64" s="10">
        <v>126.66666666666667</v>
      </c>
      <c r="H64" s="10">
        <v>126.66666666666667</v>
      </c>
      <c r="I64" s="10">
        <v>126.66666666666667</v>
      </c>
      <c r="J64" s="10">
        <v>126.66666666666667</v>
      </c>
      <c r="K64" s="12">
        <v>126.66666666666667</v>
      </c>
    </row>
    <row r="65" spans="1:11" x14ac:dyDescent="0.25">
      <c r="A65" s="17">
        <v>1.8999999761581421</v>
      </c>
      <c r="B65" s="15">
        <v>60</v>
      </c>
      <c r="C65" s="10">
        <v>80</v>
      </c>
      <c r="D65" s="10">
        <v>100</v>
      </c>
      <c r="E65" s="10">
        <v>120</v>
      </c>
      <c r="F65" s="10">
        <v>126.66666666666667</v>
      </c>
      <c r="G65" s="10">
        <v>126.66666666666667</v>
      </c>
      <c r="H65" s="10">
        <v>126.66666666666667</v>
      </c>
      <c r="I65" s="10">
        <v>126.66666666666667</v>
      </c>
      <c r="J65" s="10">
        <v>126.66666666666667</v>
      </c>
      <c r="K65" s="12">
        <v>126.66666666666667</v>
      </c>
    </row>
    <row r="66" spans="1:11" x14ac:dyDescent="0.25">
      <c r="A66" s="17">
        <v>2</v>
      </c>
      <c r="B66" s="15">
        <v>60</v>
      </c>
      <c r="C66" s="10">
        <v>80</v>
      </c>
      <c r="D66" s="10">
        <v>100</v>
      </c>
      <c r="E66" s="10">
        <v>120</v>
      </c>
      <c r="F66" s="10">
        <v>126.66666666666667</v>
      </c>
      <c r="G66" s="10">
        <v>126.66666666666667</v>
      </c>
      <c r="H66" s="10">
        <v>126.66666666666667</v>
      </c>
      <c r="I66" s="10">
        <v>126.66666666666667</v>
      </c>
      <c r="J66" s="10">
        <v>126.66666666666667</v>
      </c>
      <c r="K66" s="12">
        <v>126.66666666666667</v>
      </c>
    </row>
    <row r="67" spans="1:11" x14ac:dyDescent="0.25">
      <c r="A67" s="17">
        <v>2.0999999046325684</v>
      </c>
      <c r="B67" s="15">
        <v>53.333333333333336</v>
      </c>
      <c r="C67" s="10">
        <v>73.333333333333343</v>
      </c>
      <c r="D67" s="10">
        <v>93.333333333333343</v>
      </c>
      <c r="E67" s="10">
        <v>113.33333333333333</v>
      </c>
      <c r="F67" s="10">
        <v>126.66666666666667</v>
      </c>
      <c r="G67" s="10">
        <v>126.66666666666667</v>
      </c>
      <c r="H67" s="10">
        <v>126.66666666666667</v>
      </c>
      <c r="I67" s="10">
        <v>126.66666666666667</v>
      </c>
      <c r="J67" s="10">
        <v>126.66666666666667</v>
      </c>
      <c r="K67" s="12">
        <v>126.66666666666667</v>
      </c>
    </row>
    <row r="68" spans="1:11" x14ac:dyDescent="0.25">
      <c r="A68" s="17">
        <v>2.2000000476837158</v>
      </c>
      <c r="B68" s="15">
        <v>53.333333333333336</v>
      </c>
      <c r="C68" s="10">
        <v>73.333333333333343</v>
      </c>
      <c r="D68" s="10">
        <v>93.333333333333343</v>
      </c>
      <c r="E68" s="10">
        <v>113.33333333333333</v>
      </c>
      <c r="F68" s="10">
        <v>126.66666666666667</v>
      </c>
      <c r="G68" s="10">
        <v>126.66666666666667</v>
      </c>
      <c r="H68" s="10">
        <v>126.66666666666667</v>
      </c>
      <c r="I68" s="10">
        <v>126.66666666666667</v>
      </c>
      <c r="J68" s="10">
        <v>126.66666666666667</v>
      </c>
      <c r="K68" s="12">
        <v>126.66666666666667</v>
      </c>
    </row>
    <row r="69" spans="1:11" x14ac:dyDescent="0.25">
      <c r="A69" s="17">
        <v>2.2999999523162842</v>
      </c>
      <c r="B69" s="15">
        <v>53.333333333333336</v>
      </c>
      <c r="C69" s="10">
        <v>73.333333333333343</v>
      </c>
      <c r="D69" s="10">
        <v>93.333333333333343</v>
      </c>
      <c r="E69" s="10">
        <v>113.33333333333333</v>
      </c>
      <c r="F69" s="10">
        <v>126.66666666666667</v>
      </c>
      <c r="G69" s="10">
        <v>126.66666666666667</v>
      </c>
      <c r="H69" s="10">
        <v>126.66666666666667</v>
      </c>
      <c r="I69" s="10">
        <v>126.66666666666667</v>
      </c>
      <c r="J69" s="10">
        <v>126.66666666666667</v>
      </c>
      <c r="K69" s="12">
        <v>126.66666666666667</v>
      </c>
    </row>
    <row r="70" spans="1:11" x14ac:dyDescent="0.25">
      <c r="A70" s="17">
        <v>2.4000000953674316</v>
      </c>
      <c r="B70" s="15">
        <v>53.333333333333336</v>
      </c>
      <c r="C70" s="10">
        <v>73.333333333333343</v>
      </c>
      <c r="D70" s="10">
        <v>93.333333333333343</v>
      </c>
      <c r="E70" s="10">
        <v>113.33333333333333</v>
      </c>
      <c r="F70" s="10">
        <v>126.66666666666667</v>
      </c>
      <c r="G70" s="10">
        <v>126.66666666666667</v>
      </c>
      <c r="H70" s="10">
        <v>126.66666666666667</v>
      </c>
      <c r="I70" s="10">
        <v>126.66666666666667</v>
      </c>
      <c r="J70" s="10">
        <v>126.66666666666667</v>
      </c>
      <c r="K70" s="12">
        <v>126.66666666666667</v>
      </c>
    </row>
    <row r="71" spans="1:11" x14ac:dyDescent="0.25">
      <c r="A71" s="17">
        <v>2.5</v>
      </c>
      <c r="B71" s="16">
        <v>53.333333333333336</v>
      </c>
      <c r="C71" s="11">
        <v>73.333333333333343</v>
      </c>
      <c r="D71" s="11">
        <v>93.333333333333343</v>
      </c>
      <c r="E71" s="11">
        <v>113.33333333333333</v>
      </c>
      <c r="F71" s="11">
        <v>126.66666666666667</v>
      </c>
      <c r="G71" s="11">
        <v>126.66666666666667</v>
      </c>
      <c r="H71" s="11">
        <v>126.66666666666667</v>
      </c>
      <c r="I71" s="11">
        <v>126.66666666666667</v>
      </c>
      <c r="J71" s="11">
        <v>126.66666666666667</v>
      </c>
      <c r="K71" s="13">
        <v>126.66666666666667</v>
      </c>
    </row>
    <row r="73" spans="1:11" x14ac:dyDescent="0.25">
      <c r="A73" s="6" t="s">
        <v>57</v>
      </c>
      <c r="B73" s="5">
        <v>150</v>
      </c>
      <c r="C73" s="5">
        <v>170</v>
      </c>
      <c r="D73" s="5">
        <v>190</v>
      </c>
      <c r="E73" s="5">
        <v>210</v>
      </c>
      <c r="F73" s="5">
        <v>230</v>
      </c>
      <c r="G73" s="5">
        <v>250</v>
      </c>
      <c r="H73" s="5">
        <v>270</v>
      </c>
      <c r="I73" s="5">
        <v>290</v>
      </c>
      <c r="J73" s="5">
        <v>310</v>
      </c>
      <c r="K73" s="5">
        <v>330</v>
      </c>
    </row>
    <row r="74" spans="1:11" x14ac:dyDescent="0.25">
      <c r="A74" s="17">
        <v>0.5</v>
      </c>
      <c r="B74" s="14">
        <v>20</v>
      </c>
      <c r="C74" s="19">
        <v>20</v>
      </c>
      <c r="D74" s="19">
        <v>20</v>
      </c>
      <c r="E74" s="19">
        <v>20</v>
      </c>
      <c r="F74" s="19">
        <v>20</v>
      </c>
      <c r="G74" s="19">
        <v>20</v>
      </c>
      <c r="H74" s="19">
        <v>20</v>
      </c>
      <c r="I74" s="19">
        <v>20</v>
      </c>
      <c r="J74" s="19">
        <v>20</v>
      </c>
      <c r="K74" s="20">
        <v>20</v>
      </c>
    </row>
    <row r="75" spans="1:11" x14ac:dyDescent="0.25">
      <c r="A75" s="17">
        <v>0.60000002384185791</v>
      </c>
      <c r="B75" s="15">
        <v>20</v>
      </c>
      <c r="C75" s="10">
        <v>20</v>
      </c>
      <c r="D75" s="10">
        <v>20</v>
      </c>
      <c r="E75" s="10">
        <v>20</v>
      </c>
      <c r="F75" s="10">
        <v>20</v>
      </c>
      <c r="G75" s="10">
        <v>20</v>
      </c>
      <c r="H75" s="10">
        <v>20</v>
      </c>
      <c r="I75" s="10">
        <v>20</v>
      </c>
      <c r="J75" s="10">
        <v>20</v>
      </c>
      <c r="K75" s="12">
        <v>20</v>
      </c>
    </row>
    <row r="76" spans="1:11" x14ac:dyDescent="0.25">
      <c r="A76" s="17">
        <v>0.69999998807907104</v>
      </c>
      <c r="B76" s="15">
        <v>20</v>
      </c>
      <c r="C76" s="10">
        <v>20</v>
      </c>
      <c r="D76" s="10">
        <v>20</v>
      </c>
      <c r="E76" s="10">
        <v>20</v>
      </c>
      <c r="F76" s="10">
        <v>20</v>
      </c>
      <c r="G76" s="10">
        <v>20</v>
      </c>
      <c r="H76" s="10">
        <v>20</v>
      </c>
      <c r="I76" s="10">
        <v>20</v>
      </c>
      <c r="J76" s="10">
        <v>20</v>
      </c>
      <c r="K76" s="12">
        <v>20</v>
      </c>
    </row>
    <row r="77" spans="1:11" x14ac:dyDescent="0.25">
      <c r="A77" s="17">
        <v>0.80000001192092896</v>
      </c>
      <c r="B77" s="15">
        <v>20</v>
      </c>
      <c r="C77" s="10">
        <v>20</v>
      </c>
      <c r="D77" s="10">
        <v>20</v>
      </c>
      <c r="E77" s="10">
        <v>20</v>
      </c>
      <c r="F77" s="10">
        <v>20</v>
      </c>
      <c r="G77" s="10">
        <v>20</v>
      </c>
      <c r="H77" s="10">
        <v>20</v>
      </c>
      <c r="I77" s="10">
        <v>20</v>
      </c>
      <c r="J77" s="10">
        <v>20</v>
      </c>
      <c r="K77" s="12">
        <v>20</v>
      </c>
    </row>
    <row r="78" spans="1:11" x14ac:dyDescent="0.25">
      <c r="A78" s="17">
        <v>0.89999997615814209</v>
      </c>
      <c r="B78" s="15">
        <v>20</v>
      </c>
      <c r="C78" s="10">
        <v>20</v>
      </c>
      <c r="D78" s="10">
        <v>20</v>
      </c>
      <c r="E78" s="10">
        <v>20</v>
      </c>
      <c r="F78" s="10">
        <v>20</v>
      </c>
      <c r="G78" s="10">
        <v>20</v>
      </c>
      <c r="H78" s="10">
        <v>20</v>
      </c>
      <c r="I78" s="10">
        <v>20</v>
      </c>
      <c r="J78" s="10">
        <v>20</v>
      </c>
      <c r="K78" s="12">
        <v>20</v>
      </c>
    </row>
    <row r="79" spans="1:11" x14ac:dyDescent="0.25">
      <c r="A79" s="17">
        <v>1</v>
      </c>
      <c r="B79" s="15">
        <v>20</v>
      </c>
      <c r="C79" s="10">
        <v>20</v>
      </c>
      <c r="D79" s="10">
        <v>20</v>
      </c>
      <c r="E79" s="10">
        <v>20</v>
      </c>
      <c r="F79" s="10">
        <v>20</v>
      </c>
      <c r="G79" s="10">
        <v>20</v>
      </c>
      <c r="H79" s="10">
        <v>20</v>
      </c>
      <c r="I79" s="10">
        <v>20</v>
      </c>
      <c r="J79" s="10">
        <v>20</v>
      </c>
      <c r="K79" s="12">
        <v>20</v>
      </c>
    </row>
    <row r="80" spans="1:11" x14ac:dyDescent="0.25">
      <c r="A80" s="17">
        <v>1.1000000238418579</v>
      </c>
      <c r="B80" s="15">
        <v>20</v>
      </c>
      <c r="C80" s="10">
        <v>20</v>
      </c>
      <c r="D80" s="10">
        <v>20</v>
      </c>
      <c r="E80" s="10">
        <v>20</v>
      </c>
      <c r="F80" s="10">
        <v>20</v>
      </c>
      <c r="G80" s="10">
        <v>20</v>
      </c>
      <c r="H80" s="10">
        <v>20</v>
      </c>
      <c r="I80" s="10">
        <v>20</v>
      </c>
      <c r="J80" s="10">
        <v>20</v>
      </c>
      <c r="K80" s="12">
        <v>20</v>
      </c>
    </row>
    <row r="81" spans="1:11" x14ac:dyDescent="0.25">
      <c r="A81" s="17">
        <v>1.2000000476837158</v>
      </c>
      <c r="B81" s="15">
        <v>20</v>
      </c>
      <c r="C81" s="10">
        <v>20</v>
      </c>
      <c r="D81" s="10">
        <v>20</v>
      </c>
      <c r="E81" s="10">
        <v>20</v>
      </c>
      <c r="F81" s="10">
        <v>20</v>
      </c>
      <c r="G81" s="10">
        <v>20</v>
      </c>
      <c r="H81" s="10">
        <v>20</v>
      </c>
      <c r="I81" s="10">
        <v>20</v>
      </c>
      <c r="J81" s="10">
        <v>20</v>
      </c>
      <c r="K81" s="12">
        <v>20</v>
      </c>
    </row>
    <row r="82" spans="1:11" x14ac:dyDescent="0.25">
      <c r="A82" s="17">
        <v>1.2999999523162842</v>
      </c>
      <c r="B82" s="15">
        <v>20</v>
      </c>
      <c r="C82" s="10">
        <v>20</v>
      </c>
      <c r="D82" s="10">
        <v>20</v>
      </c>
      <c r="E82" s="10">
        <v>20</v>
      </c>
      <c r="F82" s="10">
        <v>20</v>
      </c>
      <c r="G82" s="10">
        <v>20</v>
      </c>
      <c r="H82" s="10">
        <v>20</v>
      </c>
      <c r="I82" s="10">
        <v>20</v>
      </c>
      <c r="J82" s="10">
        <v>20</v>
      </c>
      <c r="K82" s="12">
        <v>20</v>
      </c>
    </row>
    <row r="83" spans="1:11" x14ac:dyDescent="0.25">
      <c r="A83" s="17">
        <v>1.3999999761581421</v>
      </c>
      <c r="B83" s="15">
        <v>20</v>
      </c>
      <c r="C83" s="10">
        <v>20</v>
      </c>
      <c r="D83" s="10">
        <v>20</v>
      </c>
      <c r="E83" s="10">
        <v>20</v>
      </c>
      <c r="F83" s="10">
        <v>20</v>
      </c>
      <c r="G83" s="10">
        <v>20</v>
      </c>
      <c r="H83" s="10">
        <v>20</v>
      </c>
      <c r="I83" s="10">
        <v>20</v>
      </c>
      <c r="J83" s="10">
        <v>20</v>
      </c>
      <c r="K83" s="12">
        <v>20</v>
      </c>
    </row>
    <row r="84" spans="1:11" x14ac:dyDescent="0.25">
      <c r="A84" s="17">
        <v>1.5</v>
      </c>
      <c r="B84" s="15">
        <v>20</v>
      </c>
      <c r="C84" s="10">
        <v>20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2">
        <v>20</v>
      </c>
    </row>
    <row r="85" spans="1:11" x14ac:dyDescent="0.25">
      <c r="A85" s="17">
        <v>1.6000000238418579</v>
      </c>
      <c r="B85" s="15">
        <v>20</v>
      </c>
      <c r="C85" s="10">
        <v>20</v>
      </c>
      <c r="D85" s="10">
        <v>20</v>
      </c>
      <c r="E85" s="10">
        <v>20</v>
      </c>
      <c r="F85" s="10">
        <v>20</v>
      </c>
      <c r="G85" s="10">
        <v>20</v>
      </c>
      <c r="H85" s="10">
        <v>20</v>
      </c>
      <c r="I85" s="10">
        <v>20</v>
      </c>
      <c r="J85" s="10">
        <v>20</v>
      </c>
      <c r="K85" s="12">
        <v>20</v>
      </c>
    </row>
    <row r="86" spans="1:11" x14ac:dyDescent="0.25">
      <c r="A86" s="17">
        <v>1.7000000476837158</v>
      </c>
      <c r="B86" s="15">
        <v>20</v>
      </c>
      <c r="C86" s="10">
        <v>20</v>
      </c>
      <c r="D86" s="10">
        <v>20</v>
      </c>
      <c r="E86" s="10">
        <v>20</v>
      </c>
      <c r="F86" s="10">
        <v>26.666666666666664</v>
      </c>
      <c r="G86" s="10">
        <v>26.666666666666664</v>
      </c>
      <c r="H86" s="10">
        <v>26.666666666666664</v>
      </c>
      <c r="I86" s="10">
        <v>26.666666666666664</v>
      </c>
      <c r="J86" s="10">
        <v>26.666666666666664</v>
      </c>
      <c r="K86" s="12">
        <v>26.666666666666664</v>
      </c>
    </row>
    <row r="87" spans="1:11" x14ac:dyDescent="0.25">
      <c r="A87" s="17">
        <v>1.8000000715255737</v>
      </c>
      <c r="B87" s="15">
        <v>20</v>
      </c>
      <c r="C87" s="10">
        <v>20</v>
      </c>
      <c r="D87" s="10">
        <v>20</v>
      </c>
      <c r="E87" s="10">
        <v>20</v>
      </c>
      <c r="F87" s="10">
        <v>26.666666666666664</v>
      </c>
      <c r="G87" s="10">
        <v>26.666666666666664</v>
      </c>
      <c r="H87" s="10">
        <v>26.666666666666664</v>
      </c>
      <c r="I87" s="10">
        <v>26.666666666666664</v>
      </c>
      <c r="J87" s="10">
        <v>26.666666666666664</v>
      </c>
      <c r="K87" s="12">
        <v>26.666666666666664</v>
      </c>
    </row>
    <row r="88" spans="1:11" x14ac:dyDescent="0.25">
      <c r="A88" s="17">
        <v>1.8999999761581421</v>
      </c>
      <c r="B88" s="15">
        <v>20</v>
      </c>
      <c r="C88" s="10">
        <v>20</v>
      </c>
      <c r="D88" s="10">
        <v>20</v>
      </c>
      <c r="E88" s="10">
        <v>20</v>
      </c>
      <c r="F88" s="10">
        <v>26.666666666666664</v>
      </c>
      <c r="G88" s="10">
        <v>26.666666666666664</v>
      </c>
      <c r="H88" s="10">
        <v>26.666666666666664</v>
      </c>
      <c r="I88" s="10">
        <v>26.666666666666664</v>
      </c>
      <c r="J88" s="10">
        <v>26.666666666666664</v>
      </c>
      <c r="K88" s="12">
        <v>26.666666666666664</v>
      </c>
    </row>
    <row r="89" spans="1:11" x14ac:dyDescent="0.25">
      <c r="A89" s="17">
        <v>2</v>
      </c>
      <c r="B89" s="15">
        <v>20</v>
      </c>
      <c r="C89" s="10">
        <v>20</v>
      </c>
      <c r="D89" s="10">
        <v>20</v>
      </c>
      <c r="E89" s="10">
        <v>20</v>
      </c>
      <c r="F89" s="10">
        <v>26.666666666666664</v>
      </c>
      <c r="G89" s="10">
        <v>26.666666666666664</v>
      </c>
      <c r="H89" s="10">
        <v>26.666666666666664</v>
      </c>
      <c r="I89" s="10">
        <v>26.666666666666664</v>
      </c>
      <c r="J89" s="10">
        <v>26.666666666666664</v>
      </c>
      <c r="K89" s="12">
        <v>26.666666666666664</v>
      </c>
    </row>
    <row r="90" spans="1:11" x14ac:dyDescent="0.25">
      <c r="A90" s="17">
        <v>2.0999999046325684</v>
      </c>
      <c r="B90" s="15">
        <v>26.666666666666664</v>
      </c>
      <c r="C90" s="10">
        <v>26.666666666666664</v>
      </c>
      <c r="D90" s="10">
        <v>26.666666666666664</v>
      </c>
      <c r="E90" s="10">
        <v>26.666666666666664</v>
      </c>
      <c r="F90" s="10">
        <v>26.666666666666664</v>
      </c>
      <c r="G90" s="10">
        <v>26.666666666666664</v>
      </c>
      <c r="H90" s="10">
        <v>26.666666666666664</v>
      </c>
      <c r="I90" s="10">
        <v>26.666666666666664</v>
      </c>
      <c r="J90" s="10">
        <v>26.666666666666664</v>
      </c>
      <c r="K90" s="12">
        <v>26.666666666666664</v>
      </c>
    </row>
    <row r="91" spans="1:11" x14ac:dyDescent="0.25">
      <c r="A91" s="17">
        <v>2.2000000476837158</v>
      </c>
      <c r="B91" s="15">
        <v>26.666666666666664</v>
      </c>
      <c r="C91" s="10">
        <v>26.666666666666664</v>
      </c>
      <c r="D91" s="10">
        <v>26.666666666666664</v>
      </c>
      <c r="E91" s="10">
        <v>26.666666666666664</v>
      </c>
      <c r="F91" s="10">
        <v>26.666666666666664</v>
      </c>
      <c r="G91" s="10">
        <v>26.666666666666664</v>
      </c>
      <c r="H91" s="10">
        <v>26.666666666666664</v>
      </c>
      <c r="I91" s="10">
        <v>26.666666666666664</v>
      </c>
      <c r="J91" s="10">
        <v>26.666666666666664</v>
      </c>
      <c r="K91" s="12">
        <v>26.666666666666664</v>
      </c>
    </row>
    <row r="92" spans="1:11" x14ac:dyDescent="0.25">
      <c r="A92" s="17">
        <v>2.2999999523162842</v>
      </c>
      <c r="B92" s="15">
        <v>26.666666666666664</v>
      </c>
      <c r="C92" s="10">
        <v>26.666666666666664</v>
      </c>
      <c r="D92" s="10">
        <v>26.666666666666664</v>
      </c>
      <c r="E92" s="10">
        <v>26.666666666666664</v>
      </c>
      <c r="F92" s="10">
        <v>26.666666666666664</v>
      </c>
      <c r="G92" s="10">
        <v>26.666666666666664</v>
      </c>
      <c r="H92" s="10">
        <v>26.666666666666664</v>
      </c>
      <c r="I92" s="10">
        <v>26.666666666666664</v>
      </c>
      <c r="J92" s="10">
        <v>26.666666666666664</v>
      </c>
      <c r="K92" s="12">
        <v>26.666666666666664</v>
      </c>
    </row>
    <row r="93" spans="1:11" x14ac:dyDescent="0.25">
      <c r="A93" s="17">
        <v>2.4000000953674316</v>
      </c>
      <c r="B93" s="15">
        <v>26.666666666666664</v>
      </c>
      <c r="C93" s="10">
        <v>26.666666666666664</v>
      </c>
      <c r="D93" s="10">
        <v>26.666666666666664</v>
      </c>
      <c r="E93" s="10">
        <v>26.666666666666664</v>
      </c>
      <c r="F93" s="10">
        <v>26.666666666666664</v>
      </c>
      <c r="G93" s="10">
        <v>26.666666666666664</v>
      </c>
      <c r="H93" s="10">
        <v>26.666666666666664</v>
      </c>
      <c r="I93" s="10">
        <v>26.666666666666664</v>
      </c>
      <c r="J93" s="10">
        <v>26.666666666666664</v>
      </c>
      <c r="K93" s="12">
        <v>26.666666666666664</v>
      </c>
    </row>
    <row r="94" spans="1:11" x14ac:dyDescent="0.25">
      <c r="A94" s="17">
        <v>2.5</v>
      </c>
      <c r="B94" s="16">
        <v>26.666666666666664</v>
      </c>
      <c r="C94" s="11">
        <v>26.666666666666664</v>
      </c>
      <c r="D94" s="11">
        <v>26.666666666666664</v>
      </c>
      <c r="E94" s="11">
        <v>26.666666666666664</v>
      </c>
      <c r="F94" s="11">
        <v>26.666666666666664</v>
      </c>
      <c r="G94" s="11">
        <v>26.666666666666664</v>
      </c>
      <c r="H94" s="11">
        <v>26.666666666666664</v>
      </c>
      <c r="I94" s="11">
        <v>26.666666666666664</v>
      </c>
      <c r="J94" s="11">
        <v>26.666666666666664</v>
      </c>
      <c r="K94" s="13">
        <v>26.666666666666664</v>
      </c>
    </row>
    <row r="96" spans="1:11" x14ac:dyDescent="0.25">
      <c r="A96" s="6" t="s">
        <v>58</v>
      </c>
      <c r="B96" s="5">
        <v>150</v>
      </c>
      <c r="C96" s="5">
        <v>170</v>
      </c>
      <c r="D96" s="5">
        <v>190</v>
      </c>
      <c r="E96" s="5">
        <v>210</v>
      </c>
      <c r="F96" s="5">
        <v>230</v>
      </c>
      <c r="G96" s="5">
        <v>250</v>
      </c>
      <c r="H96" s="5">
        <v>270</v>
      </c>
      <c r="I96" s="5">
        <v>290</v>
      </c>
      <c r="J96" s="5">
        <v>310</v>
      </c>
      <c r="K96" s="5">
        <v>330</v>
      </c>
    </row>
    <row r="97" spans="1:11" x14ac:dyDescent="0.25">
      <c r="A97" s="17">
        <v>0.5</v>
      </c>
      <c r="B97" s="14">
        <v>30</v>
      </c>
      <c r="C97" s="19">
        <v>30</v>
      </c>
      <c r="D97" s="19">
        <v>30</v>
      </c>
      <c r="E97" s="19">
        <v>30</v>
      </c>
      <c r="F97" s="19">
        <v>30</v>
      </c>
      <c r="G97" s="19">
        <v>30</v>
      </c>
      <c r="H97" s="19">
        <v>30</v>
      </c>
      <c r="I97" s="19">
        <v>30</v>
      </c>
      <c r="J97" s="19">
        <v>30</v>
      </c>
      <c r="K97" s="20">
        <v>30</v>
      </c>
    </row>
    <row r="98" spans="1:11" x14ac:dyDescent="0.25">
      <c r="A98" s="17">
        <v>0.60000002384185791</v>
      </c>
      <c r="B98" s="15">
        <v>30</v>
      </c>
      <c r="C98" s="10">
        <v>30</v>
      </c>
      <c r="D98" s="10">
        <v>30</v>
      </c>
      <c r="E98" s="10">
        <v>30</v>
      </c>
      <c r="F98" s="10">
        <v>30</v>
      </c>
      <c r="G98" s="10">
        <v>30</v>
      </c>
      <c r="H98" s="10">
        <v>30</v>
      </c>
      <c r="I98" s="10">
        <v>30</v>
      </c>
      <c r="J98" s="10">
        <v>30</v>
      </c>
      <c r="K98" s="12">
        <v>30</v>
      </c>
    </row>
    <row r="99" spans="1:11" x14ac:dyDescent="0.25">
      <c r="A99" s="17">
        <v>0.69999998807907104</v>
      </c>
      <c r="B99" s="15">
        <v>30</v>
      </c>
      <c r="C99" s="10">
        <v>30</v>
      </c>
      <c r="D99" s="10">
        <v>30</v>
      </c>
      <c r="E99" s="10">
        <v>30</v>
      </c>
      <c r="F99" s="10">
        <v>30</v>
      </c>
      <c r="G99" s="10">
        <v>30</v>
      </c>
      <c r="H99" s="10">
        <v>30</v>
      </c>
      <c r="I99" s="10">
        <v>30</v>
      </c>
      <c r="J99" s="10">
        <v>30</v>
      </c>
      <c r="K99" s="12">
        <v>30</v>
      </c>
    </row>
    <row r="100" spans="1:11" x14ac:dyDescent="0.25">
      <c r="A100" s="17">
        <v>0.80000001192092896</v>
      </c>
      <c r="B100" s="15">
        <v>30</v>
      </c>
      <c r="C100" s="10">
        <v>30</v>
      </c>
      <c r="D100" s="10">
        <v>30</v>
      </c>
      <c r="E100" s="10">
        <v>30</v>
      </c>
      <c r="F100" s="10">
        <v>30</v>
      </c>
      <c r="G100" s="10">
        <v>30</v>
      </c>
      <c r="H100" s="10">
        <v>30</v>
      </c>
      <c r="I100" s="10">
        <v>30</v>
      </c>
      <c r="J100" s="10">
        <v>30</v>
      </c>
      <c r="K100" s="12">
        <v>30</v>
      </c>
    </row>
    <row r="101" spans="1:11" x14ac:dyDescent="0.25">
      <c r="A101" s="17">
        <v>0.89999997615814209</v>
      </c>
      <c r="B101" s="15">
        <v>30</v>
      </c>
      <c r="C101" s="10">
        <v>30</v>
      </c>
      <c r="D101" s="10">
        <v>30</v>
      </c>
      <c r="E101" s="10">
        <v>30</v>
      </c>
      <c r="F101" s="10">
        <v>30</v>
      </c>
      <c r="G101" s="10">
        <v>30</v>
      </c>
      <c r="H101" s="10">
        <v>30</v>
      </c>
      <c r="I101" s="10">
        <v>30</v>
      </c>
      <c r="J101" s="10">
        <v>30</v>
      </c>
      <c r="K101" s="12">
        <v>30</v>
      </c>
    </row>
    <row r="102" spans="1:11" x14ac:dyDescent="0.25">
      <c r="A102" s="17">
        <v>1</v>
      </c>
      <c r="B102" s="15">
        <v>30</v>
      </c>
      <c r="C102" s="10">
        <v>30</v>
      </c>
      <c r="D102" s="10">
        <v>30</v>
      </c>
      <c r="E102" s="10">
        <v>30</v>
      </c>
      <c r="F102" s="10">
        <v>30</v>
      </c>
      <c r="G102" s="10">
        <v>30</v>
      </c>
      <c r="H102" s="10">
        <v>30</v>
      </c>
      <c r="I102" s="10">
        <v>30</v>
      </c>
      <c r="J102" s="10">
        <v>30</v>
      </c>
      <c r="K102" s="12">
        <v>30</v>
      </c>
    </row>
    <row r="103" spans="1:11" x14ac:dyDescent="0.25">
      <c r="A103" s="17">
        <v>1.1000000238418579</v>
      </c>
      <c r="B103" s="15">
        <v>30</v>
      </c>
      <c r="C103" s="10">
        <v>30</v>
      </c>
      <c r="D103" s="10">
        <v>30</v>
      </c>
      <c r="E103" s="10">
        <v>30</v>
      </c>
      <c r="F103" s="10">
        <v>30</v>
      </c>
      <c r="G103" s="10">
        <v>30</v>
      </c>
      <c r="H103" s="10">
        <v>30</v>
      </c>
      <c r="I103" s="10">
        <v>30</v>
      </c>
      <c r="J103" s="10">
        <v>30</v>
      </c>
      <c r="K103" s="12">
        <v>30</v>
      </c>
    </row>
    <row r="104" spans="1:11" x14ac:dyDescent="0.25">
      <c r="A104" s="17">
        <v>1.2000000476837158</v>
      </c>
      <c r="B104" s="15">
        <v>30</v>
      </c>
      <c r="C104" s="10">
        <v>30</v>
      </c>
      <c r="D104" s="10">
        <v>30</v>
      </c>
      <c r="E104" s="10">
        <v>30</v>
      </c>
      <c r="F104" s="10">
        <v>30</v>
      </c>
      <c r="G104" s="10">
        <v>30</v>
      </c>
      <c r="H104" s="10">
        <v>30</v>
      </c>
      <c r="I104" s="10">
        <v>30</v>
      </c>
      <c r="J104" s="10">
        <v>30</v>
      </c>
      <c r="K104" s="12">
        <v>30</v>
      </c>
    </row>
    <row r="105" spans="1:11" x14ac:dyDescent="0.25">
      <c r="A105" s="17">
        <v>1.2999999523162842</v>
      </c>
      <c r="B105" s="15">
        <v>30</v>
      </c>
      <c r="C105" s="10">
        <v>30</v>
      </c>
      <c r="D105" s="10">
        <v>30</v>
      </c>
      <c r="E105" s="10">
        <v>30</v>
      </c>
      <c r="F105" s="10">
        <v>30</v>
      </c>
      <c r="G105" s="10">
        <v>30</v>
      </c>
      <c r="H105" s="10">
        <v>30</v>
      </c>
      <c r="I105" s="10">
        <v>30</v>
      </c>
      <c r="J105" s="10">
        <v>30</v>
      </c>
      <c r="K105" s="12">
        <v>30</v>
      </c>
    </row>
    <row r="106" spans="1:11" x14ac:dyDescent="0.25">
      <c r="A106" s="17">
        <v>1.3999999761581421</v>
      </c>
      <c r="B106" s="15">
        <v>30</v>
      </c>
      <c r="C106" s="10">
        <v>30</v>
      </c>
      <c r="D106" s="10">
        <v>30</v>
      </c>
      <c r="E106" s="10">
        <v>30</v>
      </c>
      <c r="F106" s="10">
        <v>30</v>
      </c>
      <c r="G106" s="10">
        <v>30</v>
      </c>
      <c r="H106" s="10">
        <v>30</v>
      </c>
      <c r="I106" s="10">
        <v>30</v>
      </c>
      <c r="J106" s="10">
        <v>30</v>
      </c>
      <c r="K106" s="12">
        <v>30</v>
      </c>
    </row>
    <row r="107" spans="1:11" x14ac:dyDescent="0.25">
      <c r="A107" s="17">
        <v>1.5</v>
      </c>
      <c r="B107" s="15">
        <v>30</v>
      </c>
      <c r="C107" s="10">
        <v>30</v>
      </c>
      <c r="D107" s="10">
        <v>30</v>
      </c>
      <c r="E107" s="10">
        <v>30</v>
      </c>
      <c r="F107" s="10">
        <v>30</v>
      </c>
      <c r="G107" s="10">
        <v>30</v>
      </c>
      <c r="H107" s="10">
        <v>30</v>
      </c>
      <c r="I107" s="10">
        <v>30</v>
      </c>
      <c r="J107" s="10">
        <v>30</v>
      </c>
      <c r="K107" s="12">
        <v>30</v>
      </c>
    </row>
    <row r="108" spans="1:11" x14ac:dyDescent="0.25">
      <c r="A108" s="17">
        <v>1.6000000238418579</v>
      </c>
      <c r="B108" s="15">
        <v>30</v>
      </c>
      <c r="C108" s="10">
        <v>30</v>
      </c>
      <c r="D108" s="10">
        <v>30</v>
      </c>
      <c r="E108" s="10">
        <v>30</v>
      </c>
      <c r="F108" s="10">
        <v>30</v>
      </c>
      <c r="G108" s="10">
        <v>30</v>
      </c>
      <c r="H108" s="10">
        <v>30</v>
      </c>
      <c r="I108" s="10">
        <v>30</v>
      </c>
      <c r="J108" s="10">
        <v>30</v>
      </c>
      <c r="K108" s="12">
        <v>30</v>
      </c>
    </row>
    <row r="109" spans="1:11" x14ac:dyDescent="0.25">
      <c r="A109" s="17">
        <v>1.7000000476837158</v>
      </c>
      <c r="B109" s="15">
        <v>30</v>
      </c>
      <c r="C109" s="10">
        <v>30</v>
      </c>
      <c r="D109" s="10">
        <v>30</v>
      </c>
      <c r="E109" s="10">
        <v>30</v>
      </c>
      <c r="F109" s="10">
        <v>30</v>
      </c>
      <c r="G109" s="10">
        <v>30</v>
      </c>
      <c r="H109" s="10">
        <v>30</v>
      </c>
      <c r="I109" s="10">
        <v>30</v>
      </c>
      <c r="J109" s="10">
        <v>30</v>
      </c>
      <c r="K109" s="12">
        <v>30</v>
      </c>
    </row>
    <row r="110" spans="1:11" x14ac:dyDescent="0.25">
      <c r="A110" s="17">
        <v>1.8000000715255737</v>
      </c>
      <c r="B110" s="15">
        <v>30</v>
      </c>
      <c r="C110" s="10">
        <v>30</v>
      </c>
      <c r="D110" s="10">
        <v>30</v>
      </c>
      <c r="E110" s="10">
        <v>30</v>
      </c>
      <c r="F110" s="10">
        <v>30</v>
      </c>
      <c r="G110" s="10">
        <v>30</v>
      </c>
      <c r="H110" s="10">
        <v>30</v>
      </c>
      <c r="I110" s="10">
        <v>30</v>
      </c>
      <c r="J110" s="10">
        <v>30</v>
      </c>
      <c r="K110" s="12">
        <v>30</v>
      </c>
    </row>
    <row r="111" spans="1:11" x14ac:dyDescent="0.25">
      <c r="A111" s="17">
        <v>1.8999999761581421</v>
      </c>
      <c r="B111" s="15">
        <v>30</v>
      </c>
      <c r="C111" s="10">
        <v>30</v>
      </c>
      <c r="D111" s="10">
        <v>30</v>
      </c>
      <c r="E111" s="10">
        <v>30</v>
      </c>
      <c r="F111" s="10">
        <v>30</v>
      </c>
      <c r="G111" s="10">
        <v>30</v>
      </c>
      <c r="H111" s="10">
        <v>30</v>
      </c>
      <c r="I111" s="10">
        <v>30</v>
      </c>
      <c r="J111" s="10">
        <v>30</v>
      </c>
      <c r="K111" s="12">
        <v>30</v>
      </c>
    </row>
    <row r="112" spans="1:11" x14ac:dyDescent="0.25">
      <c r="A112" s="17">
        <v>2</v>
      </c>
      <c r="B112" s="15">
        <v>30</v>
      </c>
      <c r="C112" s="10">
        <v>30</v>
      </c>
      <c r="D112" s="10">
        <v>30</v>
      </c>
      <c r="E112" s="10">
        <v>30</v>
      </c>
      <c r="F112" s="10">
        <v>30</v>
      </c>
      <c r="G112" s="10">
        <v>30</v>
      </c>
      <c r="H112" s="10">
        <v>30</v>
      </c>
      <c r="I112" s="10">
        <v>30</v>
      </c>
      <c r="J112" s="10">
        <v>30</v>
      </c>
      <c r="K112" s="12">
        <v>30</v>
      </c>
    </row>
    <row r="113" spans="1:11" x14ac:dyDescent="0.25">
      <c r="A113" s="17">
        <v>2.0999999046325684</v>
      </c>
      <c r="B113" s="15">
        <v>30</v>
      </c>
      <c r="C113" s="10">
        <v>30</v>
      </c>
      <c r="D113" s="10">
        <v>30</v>
      </c>
      <c r="E113" s="10">
        <v>30</v>
      </c>
      <c r="F113" s="10">
        <v>30</v>
      </c>
      <c r="G113" s="10">
        <v>30</v>
      </c>
      <c r="H113" s="10">
        <v>30</v>
      </c>
      <c r="I113" s="10">
        <v>30</v>
      </c>
      <c r="J113" s="10">
        <v>30</v>
      </c>
      <c r="K113" s="12">
        <v>30</v>
      </c>
    </row>
    <row r="114" spans="1:11" x14ac:dyDescent="0.25">
      <c r="A114" s="17">
        <v>2.2000000476837158</v>
      </c>
      <c r="B114" s="15">
        <v>30</v>
      </c>
      <c r="C114" s="10">
        <v>30</v>
      </c>
      <c r="D114" s="10">
        <v>30</v>
      </c>
      <c r="E114" s="10">
        <v>30</v>
      </c>
      <c r="F114" s="10">
        <v>30</v>
      </c>
      <c r="G114" s="10">
        <v>30</v>
      </c>
      <c r="H114" s="10">
        <v>30</v>
      </c>
      <c r="I114" s="10">
        <v>30</v>
      </c>
      <c r="J114" s="10">
        <v>30</v>
      </c>
      <c r="K114" s="12">
        <v>30</v>
      </c>
    </row>
    <row r="115" spans="1:11" x14ac:dyDescent="0.25">
      <c r="A115" s="17">
        <v>2.2999999523162842</v>
      </c>
      <c r="B115" s="15">
        <v>30</v>
      </c>
      <c r="C115" s="10">
        <v>30</v>
      </c>
      <c r="D115" s="10">
        <v>30</v>
      </c>
      <c r="E115" s="10">
        <v>30</v>
      </c>
      <c r="F115" s="10">
        <v>30</v>
      </c>
      <c r="G115" s="10">
        <v>30</v>
      </c>
      <c r="H115" s="10">
        <v>30</v>
      </c>
      <c r="I115" s="10">
        <v>30</v>
      </c>
      <c r="J115" s="10">
        <v>30</v>
      </c>
      <c r="K115" s="12">
        <v>30</v>
      </c>
    </row>
    <row r="116" spans="1:11" x14ac:dyDescent="0.25">
      <c r="A116" s="17">
        <v>2.4000000953674316</v>
      </c>
      <c r="B116" s="15">
        <v>30</v>
      </c>
      <c r="C116" s="10">
        <v>30</v>
      </c>
      <c r="D116" s="10">
        <v>30</v>
      </c>
      <c r="E116" s="10">
        <v>30</v>
      </c>
      <c r="F116" s="10">
        <v>30</v>
      </c>
      <c r="G116" s="10">
        <v>30</v>
      </c>
      <c r="H116" s="10">
        <v>30</v>
      </c>
      <c r="I116" s="10">
        <v>30</v>
      </c>
      <c r="J116" s="10">
        <v>30</v>
      </c>
      <c r="K116" s="12">
        <v>30</v>
      </c>
    </row>
    <row r="117" spans="1:11" x14ac:dyDescent="0.25">
      <c r="A117" s="17">
        <v>2.5</v>
      </c>
      <c r="B117" s="16">
        <v>30</v>
      </c>
      <c r="C117" s="11">
        <v>30</v>
      </c>
      <c r="D117" s="11">
        <v>30</v>
      </c>
      <c r="E117" s="11">
        <v>30</v>
      </c>
      <c r="F117" s="11">
        <v>30</v>
      </c>
      <c r="G117" s="11">
        <v>30</v>
      </c>
      <c r="H117" s="11">
        <v>30</v>
      </c>
      <c r="I117" s="11">
        <v>30</v>
      </c>
      <c r="J117" s="11">
        <v>30</v>
      </c>
      <c r="K117" s="13">
        <v>30</v>
      </c>
    </row>
  </sheetData>
  <dataValidations count="3">
    <dataValidation type="list" allowBlank="1" showInputMessage="1" showErrorMessage="1" sqref="M4 Q4" xr:uid="{227D795F-B89F-4E20-A067-FB4C4710FA08}">
      <formula1>OutputAddresses</formula1>
    </dataValidation>
    <dataValidation type="list" allowBlank="1" showInputMessage="1" showErrorMessage="1" sqref="N4" xr:uid="{FFD658EA-46CB-4D7D-8476-028D383FBEA2}">
      <formula1>InputValues1</formula1>
    </dataValidation>
    <dataValidation type="list" allowBlank="1" showInputMessage="1" showErrorMessage="1" sqref="R4" xr:uid="{93B66B1C-5B33-4896-833D-96CB11FB024A}">
      <formula1>InputValues2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26</vt:i4>
      </vt:variant>
    </vt:vector>
  </HeadingPairs>
  <TitlesOfParts>
    <vt:vector size="34" baseType="lpstr">
      <vt:lpstr>LP model Formulation</vt:lpstr>
      <vt:lpstr>LP model solution</vt:lpstr>
      <vt:lpstr>Sensitivity Report</vt:lpstr>
      <vt:lpstr>1 way -max baking time</vt:lpstr>
      <vt:lpstr>1 way-Max amount of pizza dough</vt:lpstr>
      <vt:lpstr>1 Way -max Storage Capacity</vt:lpstr>
      <vt:lpstr>1 Way-Profit per Hawaiian Pizza</vt:lpstr>
      <vt:lpstr>2 Way-Stor.capacity vs profit</vt:lpstr>
      <vt:lpstr>'1 way -max baking time'!ChartData</vt:lpstr>
      <vt:lpstr>'1 Way -max Storage Capacity'!ChartData</vt:lpstr>
      <vt:lpstr>'1 way-Max amount of pizza dough'!ChartData</vt:lpstr>
      <vt:lpstr>'1 Way-Profit per Hawaiian Pizza'!ChartData</vt:lpstr>
      <vt:lpstr>'2 Way-Stor.capacity vs profit'!ChartData1</vt:lpstr>
      <vt:lpstr>'2 Way-Stor.capacity vs profit'!ChartData2</vt:lpstr>
      <vt:lpstr>'1 way -max baking time'!InputValues</vt:lpstr>
      <vt:lpstr>'1 Way -max Storage Capacity'!InputValues</vt:lpstr>
      <vt:lpstr>'1 way-Max amount of pizza dough'!InputValues</vt:lpstr>
      <vt:lpstr>'1 Way-Profit per Hawaiian Pizza'!InputValues</vt:lpstr>
      <vt:lpstr>'2 Way-Stor.capacity vs profit'!InputValues1</vt:lpstr>
      <vt:lpstr>'2 Way-Stor.capacity vs profit'!InputValues2</vt:lpstr>
      <vt:lpstr>'1 way -max baking time'!OutputAddresses</vt:lpstr>
      <vt:lpstr>'1 Way -max Storage Capacity'!OutputAddresses</vt:lpstr>
      <vt:lpstr>'1 way-Max amount of pizza dough'!OutputAddresses</vt:lpstr>
      <vt:lpstr>'1 Way-Profit per Hawaiian Pizza'!OutputAddresses</vt:lpstr>
      <vt:lpstr>'2 Way-Stor.capacity vs profit'!OutputAddresses</vt:lpstr>
      <vt:lpstr>'1 way -max baking time'!OutputValues</vt:lpstr>
      <vt:lpstr>'1 Way -max Storage Capacity'!OutputValues</vt:lpstr>
      <vt:lpstr>'1 way-Max amount of pizza dough'!OutputValues</vt:lpstr>
      <vt:lpstr>'1 Way-Profit per Hawaiian Pizza'!OutputValues</vt:lpstr>
      <vt:lpstr>'2 Way-Stor.capacity vs profit'!OutputValues_1</vt:lpstr>
      <vt:lpstr>'2 Way-Stor.capacity vs profit'!OutputValues_2</vt:lpstr>
      <vt:lpstr>'2 Way-Stor.capacity vs profit'!OutputValues_3</vt:lpstr>
      <vt:lpstr>'2 Way-Stor.capacity vs profit'!OutputValues_4</vt:lpstr>
      <vt:lpstr>'2 Way-Stor.capacity vs profit'!OutputValues_5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insuser</dc:creator>
  <cp:lastModifiedBy>insuser</cp:lastModifiedBy>
  <dcterms:created xsi:type="dcterms:W3CDTF">2022-01-29T00:07:15Z</dcterms:created>
  <dcterms:modified xsi:type="dcterms:W3CDTF">2022-03-14T02:59:37Z</dcterms:modified>
</cp:coreProperties>
</file>