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TU Eindhoven\DESIGN\Github\Soldering Workshops\"/>
    </mc:Choice>
  </mc:AlternateContent>
  <xr:revisionPtr revIDLastSave="0" documentId="13_ncr:1_{CDAE32AC-E3FD-4531-B9A3-0CD86F168E0C}" xr6:coauthVersionLast="47" xr6:coauthVersionMax="47" xr10:uidLastSave="{00000000-0000-0000-0000-000000000000}"/>
  <bookViews>
    <workbookView xWindow="705" yWindow="75" windowWidth="18300" windowHeight="13995" firstSheet="1" activeTab="6" xr2:uid="{37414339-373C-4A92-8C15-0502F53297DB}"/>
  </bookViews>
  <sheets>
    <sheet name="overview balance" sheetId="6" r:id="rId1"/>
    <sheet name="Wireless LEDs" sheetId="1" r:id="rId2"/>
    <sheet name="Lighthouse" sheetId="2" r:id="rId3"/>
    <sheet name="Moduli" sheetId="3" r:id="rId4"/>
    <sheet name="Cube" sheetId="4" r:id="rId5"/>
    <sheet name="Lotus" sheetId="5" r:id="rId6"/>
    <sheet name="Controlle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7" l="1"/>
  <c r="C4" i="7"/>
  <c r="A30" i="7"/>
  <c r="C30" i="7"/>
  <c r="D29" i="7"/>
  <c r="C29" i="7"/>
  <c r="C27" i="7"/>
  <c r="D27" i="7" s="1"/>
  <c r="C34" i="7"/>
  <c r="D34" i="7" s="1"/>
  <c r="C32" i="7"/>
  <c r="D32" i="7" s="1"/>
  <c r="C28" i="7"/>
  <c r="D28" i="7" s="1"/>
  <c r="C6" i="7"/>
  <c r="D6" i="7" s="1"/>
  <c r="C8" i="7"/>
  <c r="D8" i="7" s="1"/>
  <c r="C5" i="7"/>
  <c r="D5" i="7" s="1"/>
  <c r="C4" i="3"/>
  <c r="D4" i="3" s="1"/>
  <c r="C5" i="3"/>
  <c r="D5" i="3"/>
  <c r="C43" i="7"/>
  <c r="D43" i="7" s="1"/>
  <c r="C13" i="3"/>
  <c r="D13" i="3" s="1"/>
  <c r="C38" i="7"/>
  <c r="D38" i="7" s="1"/>
  <c r="D14" i="7"/>
  <c r="C37" i="7"/>
  <c r="C13" i="7"/>
  <c r="D13" i="7" s="1"/>
  <c r="C33" i="7"/>
  <c r="D33" i="7" s="1"/>
  <c r="C31" i="7"/>
  <c r="D31" i="7" s="1"/>
  <c r="D37" i="7"/>
  <c r="D36" i="7"/>
  <c r="D35" i="7"/>
  <c r="C11" i="7"/>
  <c r="D11" i="7" s="1"/>
  <c r="C9" i="7"/>
  <c r="D9" i="7" s="1"/>
  <c r="D12" i="7"/>
  <c r="D10" i="7"/>
  <c r="C7" i="7"/>
  <c r="D7" i="7" s="1"/>
  <c r="C19" i="7"/>
  <c r="D19" i="7" s="1"/>
  <c r="D3" i="7"/>
  <c r="D14" i="1"/>
  <c r="C14" i="1"/>
  <c r="D9" i="2"/>
  <c r="D11" i="2"/>
  <c r="C9" i="2"/>
  <c r="C14" i="4"/>
  <c r="D14" i="4" s="1"/>
  <c r="C17" i="4"/>
  <c r="D17" i="4" s="1"/>
  <c r="C16" i="4"/>
  <c r="C15" i="4"/>
  <c r="D16" i="4"/>
  <c r="D15" i="4"/>
  <c r="D21" i="5"/>
  <c r="C19" i="4"/>
  <c r="D19" i="4" s="1"/>
  <c r="C8" i="6"/>
  <c r="C18" i="4"/>
  <c r="D18" i="4" s="1"/>
  <c r="D13" i="4"/>
  <c r="D11" i="4"/>
  <c r="D10" i="4"/>
  <c r="D12" i="4"/>
  <c r="D9" i="4"/>
  <c r="D8" i="4"/>
  <c r="D7" i="4"/>
  <c r="D6" i="4"/>
  <c r="D5" i="4"/>
  <c r="C4" i="4"/>
  <c r="D4" i="4" s="1"/>
  <c r="C23" i="4"/>
  <c r="D23" i="4" s="1"/>
  <c r="C8" i="3"/>
  <c r="C7" i="3"/>
  <c r="D7" i="3" s="1"/>
  <c r="C6" i="3"/>
  <c r="D6" i="3" s="1"/>
  <c r="D8" i="3"/>
  <c r="C9" i="3"/>
  <c r="D9" i="3" s="1"/>
  <c r="D6" i="6"/>
  <c r="B6" i="6"/>
  <c r="B3" i="6"/>
  <c r="D3" i="6" s="1"/>
  <c r="D8" i="2"/>
  <c r="C8" i="2"/>
  <c r="C7" i="2"/>
  <c r="D7" i="2" s="1"/>
  <c r="D6" i="2"/>
  <c r="D5" i="2"/>
  <c r="D4" i="2"/>
  <c r="C4" i="2"/>
  <c r="C15" i="5"/>
  <c r="D15" i="5"/>
  <c r="D16" i="5" s="1"/>
  <c r="C19" i="5"/>
  <c r="D19" i="5"/>
  <c r="C14" i="5"/>
  <c r="C13" i="5"/>
  <c r="C8" i="5"/>
  <c r="D14" i="5"/>
  <c r="D13" i="5"/>
  <c r="D12" i="5"/>
  <c r="D11" i="5"/>
  <c r="D10" i="5"/>
  <c r="D9" i="5"/>
  <c r="D8" i="5"/>
  <c r="D7" i="5"/>
  <c r="D6" i="5"/>
  <c r="D5" i="5"/>
  <c r="D4" i="5"/>
  <c r="D6" i="1"/>
  <c r="D13" i="1"/>
  <c r="D7" i="1"/>
  <c r="C23" i="1"/>
  <c r="D23" i="1" s="1"/>
  <c r="C22" i="1"/>
  <c r="D22" i="1" s="1"/>
  <c r="C21" i="1"/>
  <c r="D21" i="1" s="1"/>
  <c r="D24" i="1" s="1"/>
  <c r="C18" i="1"/>
  <c r="D18" i="1" s="1"/>
  <c r="D12" i="1"/>
  <c r="D8" i="1"/>
  <c r="D11" i="1"/>
  <c r="D10" i="1"/>
  <c r="D9" i="1"/>
  <c r="D5" i="1"/>
  <c r="D4" i="1"/>
  <c r="D3" i="1"/>
  <c r="D30" i="7" l="1"/>
  <c r="D16" i="7"/>
  <c r="D21" i="7" s="1"/>
  <c r="D40" i="7"/>
  <c r="D45" i="7" s="1"/>
  <c r="D46" i="7" s="1"/>
  <c r="D20" i="4"/>
  <c r="D25" i="4" s="1"/>
  <c r="B5" i="6" s="1"/>
  <c r="D10" i="3"/>
  <c r="D15" i="3" s="1"/>
  <c r="B4" i="6" s="1"/>
  <c r="D4" i="6" s="1"/>
  <c r="D15" i="1"/>
  <c r="D26" i="1" s="1"/>
  <c r="B2" i="6" s="1"/>
  <c r="D2" i="6" s="1"/>
  <c r="B8" i="6" l="1"/>
  <c r="D5" i="6"/>
  <c r="D8" i="6" s="1"/>
</calcChain>
</file>

<file path=xl/sharedStrings.xml><?xml version="1.0" encoding="utf-8"?>
<sst xmlns="http://schemas.openxmlformats.org/spreadsheetml/2006/main" count="262" uniqueCount="143">
  <si>
    <t>BOM</t>
  </si>
  <si>
    <t>number</t>
  </si>
  <si>
    <t>part</t>
  </si>
  <si>
    <t>total</t>
  </si>
  <si>
    <t>URL</t>
  </si>
  <si>
    <t>TC4426</t>
  </si>
  <si>
    <t>https://nl.rs-online.com/web/p/gate-drivers/1460135</t>
  </si>
  <si>
    <t>unpolarised cap</t>
  </si>
  <si>
    <t>resistor</t>
  </si>
  <si>
    <t>1N4148</t>
  </si>
  <si>
    <t>polarised cap</t>
  </si>
  <si>
    <t>fuse</t>
  </si>
  <si>
    <t>cost (ex BTW)</t>
  </si>
  <si>
    <t>PCB</t>
  </si>
  <si>
    <t>Total kit:</t>
  </si>
  <si>
    <t>1N4007</t>
  </si>
  <si>
    <t>LEDs</t>
  </si>
  <si>
    <t>pcb</t>
  </si>
  <si>
    <t>leds (1206)</t>
  </si>
  <si>
    <t>cap</t>
  </si>
  <si>
    <t>inductor</t>
  </si>
  <si>
    <t>mosfet</t>
  </si>
  <si>
    <t xml:space="preserve">polymer film cap </t>
  </si>
  <si>
    <t>https://nl.rs-online.com/web/p/through-hole-resistors/1997908</t>
  </si>
  <si>
    <t>https://nl.rs-online.com/web/p/film-capacitors/1943583</t>
  </si>
  <si>
    <t>https://nl.rs-online.com/web/p/schottky-diodes-rectifiers/6491143</t>
  </si>
  <si>
    <t>https://nl.rs-online.com/web/p/aluminium-capacitors/7110810</t>
  </si>
  <si>
    <t>https://nl.rs-online.com/web/p/resettable-fuses/6917557</t>
  </si>
  <si>
    <t>or use from Ali</t>
  </si>
  <si>
    <t>https://nl.rs-online.com/web/p/mosfets/2183074</t>
  </si>
  <si>
    <t>Lotus</t>
  </si>
  <si>
    <t>https://nl.rs-online.com/web/p/mosfets/8714987</t>
  </si>
  <si>
    <t>Moduli</t>
  </si>
  <si>
    <t>Cube</t>
  </si>
  <si>
    <t>MDS1525URH</t>
  </si>
  <si>
    <t>?</t>
  </si>
  <si>
    <t>resistor (150Ohm) 0805</t>
  </si>
  <si>
    <t>led</t>
  </si>
  <si>
    <t>switch</t>
  </si>
  <si>
    <t>switch toggle</t>
  </si>
  <si>
    <t>ATTiny</t>
  </si>
  <si>
    <t>6-pin header</t>
  </si>
  <si>
    <t>capacitor 100uF</t>
  </si>
  <si>
    <t>fuse (0.5A)</t>
  </si>
  <si>
    <t>usb micro</t>
  </si>
  <si>
    <t>https://www.tinytronics.nl/shop/en/switches/manual-switches/pcb-switches/pcb-switch-7x7mm</t>
  </si>
  <si>
    <t>https://www.tinytronics.nl/shop/en/components/ics-and-microcontroller-chips/microcontroller-chips/atmel-attiny85-20pu-8-pins-dip-micro-controller</t>
  </si>
  <si>
    <t>8-pin dip socket</t>
  </si>
  <si>
    <t>https://nl.rs-online.com/web/p/microcontrollers/1331612</t>
  </si>
  <si>
    <t>comments</t>
  </si>
  <si>
    <t>https://nl.rs-online.com/web/p/microcontrollers/1331625</t>
  </si>
  <si>
    <t>https://nl.rs-online.com/web/p/surface-mount-resistors/1251189</t>
  </si>
  <si>
    <t>https://www.aliexpress.com/item/33021783036.html</t>
  </si>
  <si>
    <t>https://nl.rs-online.com/web/p/dil-sockets/0402759</t>
  </si>
  <si>
    <t>https://nl.rs-online.com/web/p/pcb-headers/8632901</t>
  </si>
  <si>
    <t>https://www.aliexpress.com/item/4000972435844.html</t>
  </si>
  <si>
    <t>https://nl.rs-online.com/web/p/aluminium-capacitors/7152353</t>
  </si>
  <si>
    <t>https://www.aliexpress.com/item/32955989211.html</t>
  </si>
  <si>
    <t>https://www.aliexpress.com/item/32811263807.html</t>
  </si>
  <si>
    <t>tinned copper wire</t>
  </si>
  <si>
    <t>https://nl.rs-online.com/web/p/copper-wire/0355079</t>
  </si>
  <si>
    <t>2N2222A</t>
  </si>
  <si>
    <t>https://www.aliexpress.com/item/32845355887.html</t>
  </si>
  <si>
    <t>capacitor 10uF</t>
  </si>
  <si>
    <t>https://nl.rs-online.com/web/p/aluminium-capacitors/4406547</t>
  </si>
  <si>
    <t>https://www.aliexpress.com/item/32848822296.html</t>
  </si>
  <si>
    <t>Workshop</t>
  </si>
  <si>
    <t>Cost</t>
  </si>
  <si>
    <t>Sale</t>
  </si>
  <si>
    <t>Profit</t>
  </si>
  <si>
    <t>1 Wireless</t>
  </si>
  <si>
    <t>2 Lighthouse</t>
  </si>
  <si>
    <t>3 Moduli</t>
  </si>
  <si>
    <t>4 Cube</t>
  </si>
  <si>
    <t>5 Lotus</t>
  </si>
  <si>
    <t>resistor 1208</t>
  </si>
  <si>
    <t>led 1208</t>
  </si>
  <si>
    <t>https://www.aliexpress.com/item/32380051835.html</t>
  </si>
  <si>
    <t>https://nl.rs-online.com/web/p/surface-mount-resistors/1978258</t>
  </si>
  <si>
    <t>https://www.aliexpress.com/item/1005001672585894.html</t>
  </si>
  <si>
    <t>trimpot</t>
  </si>
  <si>
    <t>https://nl.rs-online.com/web/p/trimmer-potentiometers/7870534</t>
  </si>
  <si>
    <t>1N5817</t>
  </si>
  <si>
    <t>capacitor 470uF</t>
  </si>
  <si>
    <t>capacitor 390pF</t>
  </si>
  <si>
    <t>1R2 resistor</t>
  </si>
  <si>
    <t>https://nl.rs-online.com/web/p/aluminium-capacitors/7111110</t>
  </si>
  <si>
    <t>https://nl.rs-online.com/web/p/mlccs-multilayer-ceramic-capacitors/1940589</t>
  </si>
  <si>
    <t>https://nl.rs-online.com/web/p/through-hole-resistors/2356490</t>
  </si>
  <si>
    <t>https://nl.rs-online.com/web/p/schottky-diodes-rectifiers/8855356</t>
  </si>
  <si>
    <t>coil 220uH</t>
  </si>
  <si>
    <t>https://nl.rs-online.com/web/p/leaded-inductors/1229230</t>
  </si>
  <si>
    <t>Total</t>
  </si>
  <si>
    <t>header pin</t>
  </si>
  <si>
    <t>https://www.aliexpress.com/item/32724478308.html</t>
  </si>
  <si>
    <t>filament LED pink</t>
  </si>
  <si>
    <t>filament LED blue</t>
  </si>
  <si>
    <t>filament LED green</t>
  </si>
  <si>
    <t>filament LED yellow</t>
  </si>
  <si>
    <t>https://www.aliexpress.com/item/1005003879391329.html</t>
  </si>
  <si>
    <t>batterij CR2032</t>
  </si>
  <si>
    <t>https://www.bol.com/nl/nl/p/blisterverpakking-a-force-powerfull-lithium-cr2032-knoopbatterij-knoopcel-3-volt-8-stuks/9200000113121741/?bltgh=gIza6Cw7L9tZkh0L9LRFtA.2_18.21.ProductTitle</t>
  </si>
  <si>
    <t>led 0805 or 1206</t>
  </si>
  <si>
    <t>alleen 1 ATTiny type op voorraad</t>
  </si>
  <si>
    <t>TLC555CP</t>
  </si>
  <si>
    <t>https://nl.rs-online.com/web/p/timer-circuits/1977574</t>
  </si>
  <si>
    <t>https://nl.rs-online.com/web/p/mlccs-multilayer-ceramic-capacitors/1902931</t>
  </si>
  <si>
    <t>https://nl.rs-online.com/web/p/mlccs-multilayer-ceramic-capacitors/2107793</t>
  </si>
  <si>
    <t>https://nl.rs-online.com/web/p/switching-diodes/6715477/</t>
  </si>
  <si>
    <t>https://nl.rs-online.com/web/p/resettable-fuses/1740799</t>
  </si>
  <si>
    <t>Received</t>
  </si>
  <si>
    <t>Own stock</t>
  </si>
  <si>
    <t>Y</t>
  </si>
  <si>
    <t>N</t>
  </si>
  <si>
    <t>dip socket 8 pins</t>
  </si>
  <si>
    <t>push button 6x6x5</t>
  </si>
  <si>
    <t>https://www.tinytronics.nl/shop/en/switches/manual-switches/pcb-switches/tactile-push-button-switch-momentary-4pin-6*6*5mm</t>
  </si>
  <si>
    <t>https://www.tinytronics.nl/shop/en/cables-and-connectors/cables-and-adapters/prototyping-wires/copper-wire/synflex-v-180-enameled-copper-wire-0.4mm-250g</t>
  </si>
  <si>
    <t>acrylic</t>
  </si>
  <si>
    <t>https://www.kunststofshop.nl/acrylaat-plexiglas/acrylaat-platen/transparant-standaard-maten/acrylaat-plaat-transparant-500x500x3mm/a-3443-20000030</t>
  </si>
  <si>
    <t>M3 bolt</t>
  </si>
  <si>
    <t>header female</t>
  </si>
  <si>
    <t>tie wrap</t>
  </si>
  <si>
    <t>M3 nut</t>
  </si>
  <si>
    <t>https://www.tinytronics.nl/shop/en/tools-and-mounting/installation-and-mounting-material/nuts/m3-nut-100-pieces</t>
  </si>
  <si>
    <t>https://www.tinytronics.nl/shop/en/cables-and-connectors/connectors/pin-headers/female/12-pins-header-female</t>
  </si>
  <si>
    <t>https://www.tinytronics.nl/shop/en/tools-and-mounting/installation-and-mounting-material/cable-ties-zip-ties-tyraps/perel-set-with-nylon-cable-ties-tyraps-75-pieces-black</t>
  </si>
  <si>
    <t>foamboard</t>
  </si>
  <si>
    <t>free from leftovers Expl Making?</t>
  </si>
  <si>
    <t>shipping Tiny</t>
  </si>
  <si>
    <t>shipping is €2.50 for envelope mail</t>
  </si>
  <si>
    <t>Total per kit:</t>
  </si>
  <si>
    <t>Ordering for 15 kits:</t>
  </si>
  <si>
    <t>shipping is €5.95 for parcel</t>
  </si>
  <si>
    <t>Total for 15 kits</t>
  </si>
  <si>
    <t>Total per kit</t>
  </si>
  <si>
    <t>printing PLA</t>
  </si>
  <si>
    <t>printing</t>
  </si>
  <si>
    <t>https://www.kingmicroschroeven.nl/bzk-inbus-verzonkenkopschroef-rvs-din-7991-m3x16.html</t>
  </si>
  <si>
    <t>30awg wrapping wire</t>
  </si>
  <si>
    <t>header female 15 pins</t>
  </si>
  <si>
    <t>10k resistor</t>
  </si>
  <si>
    <t>https://www.tinytronics.nl/shop/en/components/resistors/resistors/10k%CF%89-resistor-(standard-pull-up-or-pull-down-resistor)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</si>
</sst>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€-413]\ #,##0.00"/>
    <numFmt numFmtId="166" formatCode="[$€-2]\ #,##0.00;[Red]\-[$€-2]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2" fillId="0" borderId="0" xfId="1"/>
    <xf numFmtId="166" fontId="0" fillId="0" borderId="0" xfId="0" applyNumberFormat="1"/>
    <xf numFmtId="166" fontId="1" fillId="0" borderId="0" xfId="0" applyNumberFormat="1" applyFont="1"/>
    <xf numFmtId="0" fontId="3" fillId="0" borderId="0" xfId="0" applyFont="1"/>
    <xf numFmtId="165" fontId="3" fillId="0" borderId="0" xfId="0" applyNumberFormat="1" applyFont="1"/>
    <xf numFmtId="2" fontId="1" fillId="0" borderId="0" xfId="0" applyNumberFormat="1" applyFont="1"/>
    <xf numFmtId="0" fontId="4" fillId="0" borderId="0" xfId="0" applyFont="1"/>
    <xf numFmtId="165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nl.rs-online.com/web/p/timer-circuits/1977574" TargetMode="External"/><Relationship Id="rId2" Type="http://schemas.openxmlformats.org/officeDocument/2006/relationships/hyperlink" Target="https://nl.rs-online.com/web/p/mosfets/2183074" TargetMode="External"/><Relationship Id="rId1" Type="http://schemas.openxmlformats.org/officeDocument/2006/relationships/hyperlink" Target="https://nl.rs-online.com/web/p/gate-drivers/1460135" TargetMode="Externa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4000972435844.html" TargetMode="External"/><Relationship Id="rId2" Type="http://schemas.openxmlformats.org/officeDocument/2006/relationships/hyperlink" Target="https://www.tinytronics.nl/shop/en/switches/manual-switches/pcb-switches/pcb-switch-7x7mm" TargetMode="External"/><Relationship Id="rId1" Type="http://schemas.openxmlformats.org/officeDocument/2006/relationships/hyperlink" Target="https://www.tinytronics.nl/shop/en/components/ics-and-microcontroller-chips/microcontroller-chips/atmel-attiny85-20pu-8-pins-dip-micro-controller" TargetMode="External"/><Relationship Id="rId4" Type="http://schemas.openxmlformats.org/officeDocument/2006/relationships/hyperlink" Target="https://nl.rs-online.com/web/p/microcontrollers/1331625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nytronics.nl/shop/en/cables-and-connectors/cables-and-adapters/prototyping-wires/copper-wire/synflex-v-180-enameled-copper-wire-0.4mm-250g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tinytronics.nl/shop/en/switches/manual-switches/pcb-switches/tactile-push-button-switch-momentary-4pin-6*6*5mm" TargetMode="External"/><Relationship Id="rId1" Type="http://schemas.openxmlformats.org/officeDocument/2006/relationships/hyperlink" Target="https://www.tinytronics.nl/shop/en/switches/manual-switches/pcb-switches/tactile-push-button-switch-momentary-4pin-6*6*5mm" TargetMode="External"/><Relationship Id="rId6" Type="http://schemas.openxmlformats.org/officeDocument/2006/relationships/hyperlink" Target="https://www.tinytronics.nl/shop/en/tools-and-mounting/installation-and-mounting-material/cable-ties-zip-ties-tyraps/perel-set-with-nylon-cable-ties-tyraps-75-pieces-black" TargetMode="External"/><Relationship Id="rId5" Type="http://schemas.openxmlformats.org/officeDocument/2006/relationships/hyperlink" Target="https://www.tinytronics.nl/shop/en/cables-and-connectors/connectors/pin-headers/female/12-pins-header-female" TargetMode="External"/><Relationship Id="rId4" Type="http://schemas.openxmlformats.org/officeDocument/2006/relationships/hyperlink" Target="https://www.tinytronics.nl/shop/en/tools-and-mounting/installation-and-mounting-material/nuts/m3-nut-100-pie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CA01-DA37-4703-A51B-B2DED206913F}">
  <dimension ref="A1:D8"/>
  <sheetViews>
    <sheetView workbookViewId="0">
      <selection activeCell="K15" sqref="K15"/>
    </sheetView>
  </sheetViews>
  <sheetFormatPr defaultRowHeight="15" x14ac:dyDescent="0.25"/>
  <cols>
    <col min="1" max="1" width="16.5703125" customWidth="1"/>
    <col min="2" max="2" width="15.140625" customWidth="1"/>
    <col min="3" max="3" width="14.42578125" customWidth="1"/>
    <col min="4" max="4" width="14.85546875" customWidth="1"/>
  </cols>
  <sheetData>
    <row r="1" spans="1:4" x14ac:dyDescent="0.25">
      <c r="A1" s="1" t="s">
        <v>66</v>
      </c>
      <c r="B1" s="1" t="s">
        <v>67</v>
      </c>
      <c r="C1" s="1" t="s">
        <v>68</v>
      </c>
      <c r="D1" s="1" t="s">
        <v>69</v>
      </c>
    </row>
    <row r="2" spans="1:4" x14ac:dyDescent="0.25">
      <c r="A2" t="s">
        <v>70</v>
      </c>
      <c r="B2" s="7">
        <f>'Wireless LEDs'!D26</f>
        <v>4.5282166666666672</v>
      </c>
      <c r="C2" s="7">
        <v>5</v>
      </c>
      <c r="D2" s="7">
        <f>C2-B2</f>
        <v>0.47178333333333278</v>
      </c>
    </row>
    <row r="3" spans="1:4" x14ac:dyDescent="0.25">
      <c r="A3" t="s">
        <v>71</v>
      </c>
      <c r="B3" s="7">
        <f>Lighthouse!D11</f>
        <v>0.98923585461689578</v>
      </c>
      <c r="C3" s="7">
        <v>5</v>
      </c>
      <c r="D3" s="7">
        <f>C3-B3</f>
        <v>4.0107641453831047</v>
      </c>
    </row>
    <row r="4" spans="1:4" x14ac:dyDescent="0.25">
      <c r="A4" t="s">
        <v>72</v>
      </c>
      <c r="B4" s="7">
        <f>Moduli!D15</f>
        <v>3.72438231827112</v>
      </c>
      <c r="C4" s="7">
        <v>5</v>
      </c>
      <c r="D4" s="7">
        <f>C4-B4</f>
        <v>1.27561768172888</v>
      </c>
    </row>
    <row r="5" spans="1:4" x14ac:dyDescent="0.25">
      <c r="A5" t="s">
        <v>73</v>
      </c>
      <c r="B5" s="7">
        <f>Cube!D25</f>
        <v>6.5814316060903728</v>
      </c>
      <c r="C5" s="7">
        <v>5</v>
      </c>
      <c r="D5" s="7">
        <f>C5-B5</f>
        <v>-1.5814316060903728</v>
      </c>
    </row>
    <row r="6" spans="1:4" x14ac:dyDescent="0.25">
      <c r="A6" t="s">
        <v>74</v>
      </c>
      <c r="B6" s="7">
        <f>Lotus!D21</f>
        <v>5.8133548788474139</v>
      </c>
      <c r="C6" s="7">
        <v>5</v>
      </c>
      <c r="D6" s="7">
        <f>C6-B6</f>
        <v>-0.81335487884741386</v>
      </c>
    </row>
    <row r="8" spans="1:4" x14ac:dyDescent="0.25">
      <c r="A8" s="1" t="s">
        <v>3</v>
      </c>
      <c r="B8" s="8">
        <f>SUM(B2:B6)</f>
        <v>21.63662132449247</v>
      </c>
      <c r="C8" s="8">
        <f>SUM(C2:C6)</f>
        <v>25</v>
      </c>
      <c r="D8" s="8">
        <f>SUM(D2:D6)</f>
        <v>3.3633786755075308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8EF83-736F-424F-BA8F-20008381E626}">
  <dimension ref="A1:S26"/>
  <sheetViews>
    <sheetView workbookViewId="0">
      <selection activeCell="D30" sqref="D30"/>
    </sheetView>
  </sheetViews>
  <sheetFormatPr defaultRowHeight="15" x14ac:dyDescent="0.25"/>
  <cols>
    <col min="2" max="2" width="15.140625" bestFit="1" customWidth="1"/>
    <col min="3" max="3" width="13.28515625" bestFit="1" customWidth="1"/>
    <col min="4" max="4" width="9.5703125" bestFit="1" customWidth="1"/>
    <col min="6" max="6" width="67.42578125" bestFit="1" customWidth="1"/>
    <col min="7" max="7" width="14.28515625" customWidth="1"/>
  </cols>
  <sheetData>
    <row r="1" spans="1:19" x14ac:dyDescent="0.25">
      <c r="A1" s="1" t="s">
        <v>0</v>
      </c>
      <c r="B1" s="1"/>
      <c r="C1" s="1"/>
      <c r="D1" s="1"/>
      <c r="H1" t="s">
        <v>110</v>
      </c>
      <c r="I1" t="s">
        <v>111</v>
      </c>
      <c r="P1" s="1"/>
      <c r="Q1" s="1"/>
      <c r="R1" s="1"/>
      <c r="S1" s="1"/>
    </row>
    <row r="2" spans="1:19" x14ac:dyDescent="0.25">
      <c r="A2" s="1" t="s">
        <v>1</v>
      </c>
      <c r="B2" s="1" t="s">
        <v>2</v>
      </c>
      <c r="C2" s="1" t="s">
        <v>12</v>
      </c>
      <c r="D2" s="1" t="s">
        <v>3</v>
      </c>
      <c r="F2" s="1" t="s">
        <v>4</v>
      </c>
      <c r="M2" s="1"/>
      <c r="N2" s="1"/>
      <c r="P2" s="1"/>
      <c r="Q2" s="1"/>
      <c r="R2" s="1"/>
      <c r="S2" s="1"/>
    </row>
    <row r="3" spans="1:19" x14ac:dyDescent="0.25">
      <c r="A3">
        <v>1</v>
      </c>
      <c r="B3" t="s">
        <v>104</v>
      </c>
      <c r="C3" s="4">
        <v>1.056</v>
      </c>
      <c r="D3" s="4">
        <f t="shared" ref="D3:D7" si="0">A3*C3</f>
        <v>1.056</v>
      </c>
      <c r="F3" s="6" t="s">
        <v>105</v>
      </c>
      <c r="H3" t="s">
        <v>112</v>
      </c>
      <c r="R3" s="4"/>
      <c r="S3" s="4"/>
    </row>
    <row r="4" spans="1:19" x14ac:dyDescent="0.25">
      <c r="A4">
        <v>1</v>
      </c>
      <c r="B4" t="s">
        <v>5</v>
      </c>
      <c r="C4" s="4">
        <v>1.4</v>
      </c>
      <c r="D4" s="4">
        <f t="shared" si="0"/>
        <v>1.4</v>
      </c>
      <c r="F4" s="6" t="s">
        <v>6</v>
      </c>
      <c r="H4" t="s">
        <v>112</v>
      </c>
      <c r="R4" s="4"/>
      <c r="S4" s="4"/>
    </row>
    <row r="5" spans="1:19" x14ac:dyDescent="0.25">
      <c r="A5">
        <v>1</v>
      </c>
      <c r="B5" t="s">
        <v>22</v>
      </c>
      <c r="C5" s="4">
        <v>7.1999999999999995E-2</v>
      </c>
      <c r="D5" s="4">
        <f t="shared" si="0"/>
        <v>7.1999999999999995E-2</v>
      </c>
      <c r="F5" s="6" t="s">
        <v>24</v>
      </c>
      <c r="H5" t="s">
        <v>112</v>
      </c>
      <c r="M5" s="3"/>
      <c r="N5" s="2"/>
      <c r="R5" s="4"/>
      <c r="S5" s="4"/>
    </row>
    <row r="6" spans="1:19" x14ac:dyDescent="0.25">
      <c r="A6">
        <v>2</v>
      </c>
      <c r="B6" t="s">
        <v>7</v>
      </c>
      <c r="C6" s="4">
        <v>0.09</v>
      </c>
      <c r="D6" s="4">
        <f t="shared" si="0"/>
        <v>0.18</v>
      </c>
      <c r="F6" s="6" t="s">
        <v>106</v>
      </c>
      <c r="G6" s="2" t="s">
        <v>28</v>
      </c>
      <c r="H6" t="s">
        <v>112</v>
      </c>
      <c r="M6" s="3"/>
      <c r="R6" s="4"/>
      <c r="S6" s="4"/>
    </row>
    <row r="7" spans="1:19" x14ac:dyDescent="0.25">
      <c r="A7">
        <v>1</v>
      </c>
      <c r="B7" t="s">
        <v>7</v>
      </c>
      <c r="C7" s="4">
        <v>0.06</v>
      </c>
      <c r="D7" s="4">
        <f t="shared" si="0"/>
        <v>0.06</v>
      </c>
      <c r="F7" t="s">
        <v>107</v>
      </c>
      <c r="H7" t="s">
        <v>112</v>
      </c>
      <c r="R7" s="4"/>
      <c r="S7" s="4"/>
    </row>
    <row r="8" spans="1:19" x14ac:dyDescent="0.25">
      <c r="A8">
        <v>1</v>
      </c>
      <c r="B8" t="s">
        <v>10</v>
      </c>
      <c r="C8" s="4">
        <v>6.4000000000000001E-2</v>
      </c>
      <c r="D8" s="4">
        <f t="shared" ref="D8:D14" si="1">A8*C8</f>
        <v>6.4000000000000001E-2</v>
      </c>
      <c r="F8" t="s">
        <v>26</v>
      </c>
      <c r="H8" t="s">
        <v>112</v>
      </c>
      <c r="R8" s="4"/>
      <c r="S8" s="4"/>
    </row>
    <row r="9" spans="1:19" x14ac:dyDescent="0.25">
      <c r="A9">
        <v>7</v>
      </c>
      <c r="B9" t="s">
        <v>8</v>
      </c>
      <c r="C9" s="4">
        <v>3.1E-2</v>
      </c>
      <c r="D9" s="4">
        <f t="shared" si="1"/>
        <v>0.217</v>
      </c>
      <c r="F9" t="s">
        <v>23</v>
      </c>
      <c r="H9" t="s">
        <v>112</v>
      </c>
      <c r="R9" s="4"/>
      <c r="S9" s="4"/>
    </row>
    <row r="10" spans="1:19" x14ac:dyDescent="0.25">
      <c r="A10">
        <v>1</v>
      </c>
      <c r="B10" t="s">
        <v>9</v>
      </c>
      <c r="C10" s="4">
        <v>7.8E-2</v>
      </c>
      <c r="D10" s="4">
        <f t="shared" si="1"/>
        <v>7.8E-2</v>
      </c>
      <c r="F10" t="s">
        <v>108</v>
      </c>
      <c r="I10" t="s">
        <v>112</v>
      </c>
      <c r="M10" s="3"/>
      <c r="N10" s="2"/>
      <c r="R10" s="4"/>
      <c r="S10" s="4"/>
    </row>
    <row r="11" spans="1:19" x14ac:dyDescent="0.25">
      <c r="A11">
        <v>1</v>
      </c>
      <c r="B11" t="s">
        <v>15</v>
      </c>
      <c r="C11" s="4">
        <v>7.3999999999999996E-2</v>
      </c>
      <c r="D11" s="4">
        <f t="shared" si="1"/>
        <v>7.3999999999999996E-2</v>
      </c>
      <c r="F11" t="s">
        <v>25</v>
      </c>
      <c r="H11" t="s">
        <v>112</v>
      </c>
      <c r="R11" s="4"/>
      <c r="S11" s="4"/>
    </row>
    <row r="12" spans="1:19" x14ac:dyDescent="0.25">
      <c r="A12">
        <v>1</v>
      </c>
      <c r="B12" t="s">
        <v>11</v>
      </c>
      <c r="C12" s="4">
        <v>0.2</v>
      </c>
      <c r="D12" s="4">
        <f t="shared" si="1"/>
        <v>0.2</v>
      </c>
      <c r="F12" s="6" t="s">
        <v>109</v>
      </c>
      <c r="H12" t="s">
        <v>112</v>
      </c>
      <c r="R12" s="4"/>
      <c r="S12" s="4"/>
    </row>
    <row r="13" spans="1:19" x14ac:dyDescent="0.25">
      <c r="A13">
        <v>1</v>
      </c>
      <c r="B13" t="s">
        <v>21</v>
      </c>
      <c r="C13" s="4">
        <v>0.185</v>
      </c>
      <c r="D13" s="4">
        <f t="shared" si="1"/>
        <v>0.185</v>
      </c>
      <c r="F13" s="6" t="s">
        <v>29</v>
      </c>
      <c r="H13" t="s">
        <v>113</v>
      </c>
      <c r="R13" s="4"/>
      <c r="S13" s="4"/>
    </row>
    <row r="14" spans="1:19" x14ac:dyDescent="0.25">
      <c r="A14">
        <v>1</v>
      </c>
      <c r="B14" t="s">
        <v>114</v>
      </c>
      <c r="C14" s="4">
        <f>1.96/20</f>
        <v>9.8000000000000004E-2</v>
      </c>
      <c r="D14" s="4">
        <f t="shared" si="1"/>
        <v>9.8000000000000004E-2</v>
      </c>
      <c r="F14" s="6"/>
      <c r="I14" t="s">
        <v>112</v>
      </c>
      <c r="R14" s="4"/>
      <c r="S14" s="4"/>
    </row>
    <row r="15" spans="1:19" x14ac:dyDescent="0.25">
      <c r="C15" s="1" t="s">
        <v>3</v>
      </c>
      <c r="D15" s="5">
        <f>SUM(D3:D13)</f>
        <v>3.5860000000000003</v>
      </c>
      <c r="S15" s="5"/>
    </row>
    <row r="16" spans="1:19" x14ac:dyDescent="0.25">
      <c r="F16" s="4"/>
    </row>
    <row r="17" spans="1:19" x14ac:dyDescent="0.25">
      <c r="A17" s="1" t="s">
        <v>13</v>
      </c>
      <c r="D17" s="4"/>
      <c r="S17" s="4"/>
    </row>
    <row r="18" spans="1:19" x14ac:dyDescent="0.25">
      <c r="A18">
        <v>1</v>
      </c>
      <c r="B18" t="s">
        <v>17</v>
      </c>
      <c r="C18" s="2">
        <f>20.78/30</f>
        <v>0.69266666666666665</v>
      </c>
      <c r="D18" s="4">
        <f>C18/A18</f>
        <v>0.69266666666666665</v>
      </c>
      <c r="F18" s="4"/>
      <c r="I18" t="s">
        <v>112</v>
      </c>
      <c r="R18" s="2"/>
      <c r="S18" s="4"/>
    </row>
    <row r="20" spans="1:19" x14ac:dyDescent="0.25">
      <c r="A20" s="1" t="s">
        <v>16</v>
      </c>
    </row>
    <row r="21" spans="1:19" x14ac:dyDescent="0.25">
      <c r="A21">
        <v>2</v>
      </c>
      <c r="B21" t="s">
        <v>18</v>
      </c>
      <c r="C21" s="2">
        <f>6.47/400</f>
        <v>1.6174999999999998E-2</v>
      </c>
      <c r="D21" s="2">
        <f>A21*C21</f>
        <v>3.2349999999999997E-2</v>
      </c>
      <c r="I21" t="s">
        <v>112</v>
      </c>
      <c r="R21" s="2"/>
      <c r="S21" s="2"/>
    </row>
    <row r="22" spans="1:19" x14ac:dyDescent="0.25">
      <c r="A22">
        <v>2</v>
      </c>
      <c r="B22" t="s">
        <v>20</v>
      </c>
      <c r="C22" s="2">
        <f>(2.47+1.52)/50</f>
        <v>7.980000000000001E-2</v>
      </c>
      <c r="D22" s="2">
        <f>A22*C22</f>
        <v>0.15960000000000002</v>
      </c>
      <c r="I22" t="s">
        <v>112</v>
      </c>
      <c r="R22" s="2"/>
      <c r="S22" s="2"/>
    </row>
    <row r="23" spans="1:19" x14ac:dyDescent="0.25">
      <c r="A23">
        <v>2</v>
      </c>
      <c r="B23" t="s">
        <v>19</v>
      </c>
      <c r="C23" s="2">
        <f>2.88/100</f>
        <v>2.8799999999999999E-2</v>
      </c>
      <c r="D23" s="2">
        <f>A23*C23</f>
        <v>5.7599999999999998E-2</v>
      </c>
      <c r="I23" t="s">
        <v>112</v>
      </c>
      <c r="R23" s="2"/>
      <c r="S23" s="2"/>
    </row>
    <row r="24" spans="1:19" x14ac:dyDescent="0.25">
      <c r="C24" s="11" t="s">
        <v>3</v>
      </c>
      <c r="D24" s="11">
        <f>SUM(D21:D23)</f>
        <v>0.24954999999999999</v>
      </c>
      <c r="R24" s="2"/>
    </row>
    <row r="26" spans="1:19" x14ac:dyDescent="0.25">
      <c r="C26" s="1" t="s">
        <v>14</v>
      </c>
      <c r="D26" s="5">
        <f>SUM(D15:D23)</f>
        <v>4.5282166666666672</v>
      </c>
      <c r="S26" s="4"/>
    </row>
  </sheetData>
  <hyperlinks>
    <hyperlink ref="F4" r:id="rId1" xr:uid="{83275B4F-0DB9-459C-B671-3C767EA85AF6}"/>
    <hyperlink ref="F13" r:id="rId2" xr:uid="{DDAC75B6-4259-41ED-881B-410EBA19079C}"/>
    <hyperlink ref="F3" r:id="rId3" xr:uid="{BEC81041-5881-4090-BA80-434BAAF59E87}"/>
  </hyperlinks>
  <pageMargins left="0.7" right="0.7" top="0.75" bottom="0.75" header="0.3" footer="0.3"/>
  <pageSetup paperSize="9" orientation="portrait" horizontalDpi="4294967293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CEA5-8D9E-495C-BEA7-86A106BCD4A2}">
  <dimension ref="A1:F24"/>
  <sheetViews>
    <sheetView workbookViewId="0">
      <selection activeCell="F18" sqref="F18"/>
    </sheetView>
  </sheetViews>
  <sheetFormatPr defaultRowHeight="15" x14ac:dyDescent="0.25"/>
  <cols>
    <col min="2" max="2" width="27" customWidth="1"/>
    <col min="3" max="3" width="13.28515625" bestFit="1" customWidth="1"/>
    <col min="6" max="6" width="59.85546875" customWidth="1"/>
  </cols>
  <sheetData>
    <row r="1" spans="1:6" x14ac:dyDescent="0.25">
      <c r="A1" t="s">
        <v>30</v>
      </c>
    </row>
    <row r="2" spans="1:6" x14ac:dyDescent="0.25">
      <c r="A2" s="1" t="s">
        <v>0</v>
      </c>
      <c r="B2" s="1"/>
      <c r="C2" s="1"/>
      <c r="D2" s="1"/>
    </row>
    <row r="3" spans="1:6" x14ac:dyDescent="0.25">
      <c r="A3" s="1" t="s">
        <v>1</v>
      </c>
      <c r="B3" s="1" t="s">
        <v>2</v>
      </c>
      <c r="C3" s="1" t="s">
        <v>12</v>
      </c>
      <c r="D3" s="1" t="s">
        <v>3</v>
      </c>
      <c r="F3" s="1" t="s">
        <v>4</v>
      </c>
    </row>
    <row r="4" spans="1:6" x14ac:dyDescent="0.25">
      <c r="A4">
        <v>2</v>
      </c>
      <c r="B4" t="s">
        <v>61</v>
      </c>
      <c r="C4" s="4">
        <f>4.16/100</f>
        <v>4.1599999999999998E-2</v>
      </c>
      <c r="D4" s="4">
        <f>C4*A4</f>
        <v>8.3199999999999996E-2</v>
      </c>
      <c r="F4" s="6" t="s">
        <v>62</v>
      </c>
    </row>
    <row r="5" spans="1:6" x14ac:dyDescent="0.25">
      <c r="A5">
        <v>2</v>
      </c>
      <c r="B5" t="s">
        <v>63</v>
      </c>
      <c r="C5" s="4">
        <v>4.2999999999999997E-2</v>
      </c>
      <c r="D5" s="4">
        <f t="shared" ref="D5:D9" si="0">A5*C5</f>
        <v>8.5999999999999993E-2</v>
      </c>
      <c r="F5" t="s">
        <v>64</v>
      </c>
    </row>
    <row r="6" spans="1:6" x14ac:dyDescent="0.25">
      <c r="A6">
        <v>4</v>
      </c>
      <c r="B6" t="s">
        <v>8</v>
      </c>
      <c r="C6" s="4">
        <v>3.1E-2</v>
      </c>
      <c r="D6" s="4">
        <f t="shared" si="0"/>
        <v>0.124</v>
      </c>
      <c r="F6" t="s">
        <v>23</v>
      </c>
    </row>
    <row r="7" spans="1:6" x14ac:dyDescent="0.25">
      <c r="A7">
        <v>1.2</v>
      </c>
      <c r="B7" t="s">
        <v>59</v>
      </c>
      <c r="C7" s="4">
        <f>11.91/50.9</f>
        <v>0.23398821218074656</v>
      </c>
      <c r="D7" s="4">
        <f t="shared" si="0"/>
        <v>0.28078585461689587</v>
      </c>
      <c r="F7" t="s">
        <v>60</v>
      </c>
    </row>
    <row r="8" spans="1:6" x14ac:dyDescent="0.25">
      <c r="A8">
        <v>1</v>
      </c>
      <c r="B8" t="s">
        <v>37</v>
      </c>
      <c r="C8" s="4">
        <f>2.15/100</f>
        <v>2.1499999999999998E-2</v>
      </c>
      <c r="D8" s="4">
        <f t="shared" si="0"/>
        <v>2.1499999999999998E-2</v>
      </c>
      <c r="F8" t="s">
        <v>65</v>
      </c>
    </row>
    <row r="9" spans="1:6" x14ac:dyDescent="0.25">
      <c r="A9">
        <v>1</v>
      </c>
      <c r="B9" t="s">
        <v>100</v>
      </c>
      <c r="C9" s="4">
        <f>3.15/8</f>
        <v>0.39374999999999999</v>
      </c>
      <c r="D9" s="4">
        <f t="shared" si="0"/>
        <v>0.39374999999999999</v>
      </c>
      <c r="F9" t="s">
        <v>101</v>
      </c>
    </row>
    <row r="11" spans="1:6" x14ac:dyDescent="0.25">
      <c r="C11" s="1" t="s">
        <v>14</v>
      </c>
      <c r="D11" s="5">
        <f>SUM(D4:D9)</f>
        <v>0.98923585461689578</v>
      </c>
    </row>
    <row r="12" spans="1:6" x14ac:dyDescent="0.25">
      <c r="C12" s="4"/>
      <c r="D12" s="4"/>
    </row>
    <row r="13" spans="1:6" x14ac:dyDescent="0.25">
      <c r="C13" s="4"/>
      <c r="D13" s="4"/>
    </row>
    <row r="14" spans="1:6" x14ac:dyDescent="0.25">
      <c r="C14" s="4"/>
      <c r="D14" s="4"/>
      <c r="F14" s="6"/>
    </row>
    <row r="15" spans="1:6" x14ac:dyDescent="0.25">
      <c r="D15" s="5"/>
    </row>
    <row r="17" spans="3:4" x14ac:dyDescent="0.25">
      <c r="D17" s="4"/>
    </row>
    <row r="18" spans="3:4" x14ac:dyDescent="0.25">
      <c r="C18" s="2"/>
      <c r="D18" s="4"/>
    </row>
    <row r="21" spans="3:4" x14ac:dyDescent="0.25">
      <c r="C21" s="2"/>
      <c r="D21" s="2"/>
    </row>
    <row r="22" spans="3:4" x14ac:dyDescent="0.25">
      <c r="C22" s="2"/>
      <c r="D22" s="2"/>
    </row>
    <row r="23" spans="3:4" x14ac:dyDescent="0.25">
      <c r="C23" s="2"/>
      <c r="D23" s="2"/>
    </row>
    <row r="24" spans="3:4" x14ac:dyDescent="0.25">
      <c r="C2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8B19-4EEB-450E-AF58-6276B61E296C}">
  <dimension ref="A1:F24"/>
  <sheetViews>
    <sheetView workbookViewId="0">
      <selection activeCell="F9" sqref="F9"/>
    </sheetView>
  </sheetViews>
  <sheetFormatPr defaultRowHeight="15" x14ac:dyDescent="0.25"/>
  <cols>
    <col min="2" max="2" width="24" customWidth="1"/>
    <col min="3" max="3" width="13.28515625" bestFit="1" customWidth="1"/>
    <col min="6" max="6" width="60.85546875" bestFit="1" customWidth="1"/>
  </cols>
  <sheetData>
    <row r="1" spans="1:6" x14ac:dyDescent="0.25">
      <c r="A1" t="s">
        <v>32</v>
      </c>
    </row>
    <row r="2" spans="1:6" x14ac:dyDescent="0.25">
      <c r="A2" s="1" t="s">
        <v>0</v>
      </c>
      <c r="B2" s="1"/>
      <c r="C2" s="1"/>
      <c r="D2" s="1"/>
    </row>
    <row r="3" spans="1:6" x14ac:dyDescent="0.25">
      <c r="A3" s="1" t="s">
        <v>1</v>
      </c>
      <c r="B3" s="1" t="s">
        <v>2</v>
      </c>
      <c r="C3" s="1" t="s">
        <v>12</v>
      </c>
      <c r="D3" s="1" t="s">
        <v>3</v>
      </c>
      <c r="F3" s="1" t="s">
        <v>4</v>
      </c>
    </row>
    <row r="4" spans="1:6" x14ac:dyDescent="0.25">
      <c r="A4">
        <v>10</v>
      </c>
      <c r="B4" t="s">
        <v>75</v>
      </c>
      <c r="C4" s="4">
        <f>9.36/800</f>
        <v>1.1699999999999999E-2</v>
      </c>
      <c r="D4" s="4">
        <f>A4*C4</f>
        <v>0.11699999999999999</v>
      </c>
      <c r="F4" s="6" t="s">
        <v>78</v>
      </c>
    </row>
    <row r="5" spans="1:6" x14ac:dyDescent="0.25">
      <c r="A5">
        <v>10</v>
      </c>
      <c r="B5" t="s">
        <v>76</v>
      </c>
      <c r="C5" s="4">
        <f>5.64/600</f>
        <v>9.3999999999999986E-3</v>
      </c>
      <c r="D5" s="4">
        <f>A5*C5</f>
        <v>9.3999999999999986E-2</v>
      </c>
      <c r="F5" s="6" t="s">
        <v>77</v>
      </c>
    </row>
    <row r="6" spans="1:6" x14ac:dyDescent="0.25">
      <c r="A6">
        <v>1</v>
      </c>
      <c r="B6" t="s">
        <v>43</v>
      </c>
      <c r="C6" s="4">
        <f>6.23/100</f>
        <v>6.2300000000000001E-2</v>
      </c>
      <c r="D6" s="4">
        <f t="shared" ref="D6:D7" si="0">A6*C6</f>
        <v>6.2300000000000001E-2</v>
      </c>
      <c r="F6" t="s">
        <v>57</v>
      </c>
    </row>
    <row r="7" spans="1:6" x14ac:dyDescent="0.25">
      <c r="A7">
        <v>1</v>
      </c>
      <c r="B7" t="s">
        <v>44</v>
      </c>
      <c r="C7" s="4">
        <f>6.54/30</f>
        <v>0.218</v>
      </c>
      <c r="D7" s="4">
        <f t="shared" si="0"/>
        <v>0.218</v>
      </c>
      <c r="F7" s="6" t="s">
        <v>58</v>
      </c>
    </row>
    <row r="8" spans="1:6" x14ac:dyDescent="0.25">
      <c r="A8">
        <v>1</v>
      </c>
      <c r="B8" t="s">
        <v>38</v>
      </c>
      <c r="C8" s="4">
        <f>3.18/50</f>
        <v>6.3600000000000004E-2</v>
      </c>
      <c r="D8" s="4">
        <f t="shared" ref="D8:D9" si="1">A8*C8</f>
        <v>6.3600000000000004E-2</v>
      </c>
      <c r="F8" t="s">
        <v>79</v>
      </c>
    </row>
    <row r="9" spans="1:6" x14ac:dyDescent="0.25">
      <c r="A9">
        <v>1.5</v>
      </c>
      <c r="B9" t="s">
        <v>59</v>
      </c>
      <c r="C9" s="4">
        <f>11.91/50.9</f>
        <v>0.23398821218074656</v>
      </c>
      <c r="D9" s="4">
        <f t="shared" si="1"/>
        <v>0.35098231827111981</v>
      </c>
      <c r="F9" t="s">
        <v>60</v>
      </c>
    </row>
    <row r="10" spans="1:6" x14ac:dyDescent="0.25">
      <c r="C10" s="1" t="s">
        <v>3</v>
      </c>
      <c r="D10" s="5">
        <f>SUM(D4:D9)</f>
        <v>0.90588231827111976</v>
      </c>
    </row>
    <row r="12" spans="1:6" x14ac:dyDescent="0.25">
      <c r="A12" t="s">
        <v>13</v>
      </c>
      <c r="D12" s="4"/>
    </row>
    <row r="13" spans="1:6" x14ac:dyDescent="0.25">
      <c r="A13">
        <v>10</v>
      </c>
      <c r="B13" t="s">
        <v>17</v>
      </c>
      <c r="C13" s="2">
        <f>(62.95-6.58)/200</f>
        <v>0.28185000000000004</v>
      </c>
      <c r="D13" s="4">
        <f>C13*A13</f>
        <v>2.8185000000000002</v>
      </c>
    </row>
    <row r="14" spans="1:6" x14ac:dyDescent="0.25">
      <c r="C14" s="4"/>
      <c r="D14" s="4"/>
      <c r="F14" s="6"/>
    </row>
    <row r="15" spans="1:6" x14ac:dyDescent="0.25">
      <c r="C15" s="1" t="s">
        <v>14</v>
      </c>
      <c r="D15" s="4">
        <f>D13+D10</f>
        <v>3.72438231827112</v>
      </c>
    </row>
    <row r="21" spans="3:4" x14ac:dyDescent="0.25">
      <c r="C21" s="2"/>
      <c r="D21" s="2"/>
    </row>
    <row r="22" spans="3:4" x14ac:dyDescent="0.25">
      <c r="C22" s="2"/>
      <c r="D22" s="2"/>
    </row>
    <row r="23" spans="3:4" x14ac:dyDescent="0.25">
      <c r="C23" s="2"/>
      <c r="D23" s="2"/>
    </row>
    <row r="24" spans="3:4" x14ac:dyDescent="0.25">
      <c r="C2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0553E-5B13-4099-A8D5-4A18371C538F}">
  <dimension ref="A1:F28"/>
  <sheetViews>
    <sheetView workbookViewId="0">
      <selection activeCell="I26" sqref="I26"/>
    </sheetView>
  </sheetViews>
  <sheetFormatPr defaultRowHeight="15" x14ac:dyDescent="0.25"/>
  <cols>
    <col min="2" max="2" width="24" customWidth="1"/>
    <col min="3" max="3" width="13.7109375" bestFit="1" customWidth="1"/>
    <col min="6" max="6" width="71.85546875" bestFit="1" customWidth="1"/>
  </cols>
  <sheetData>
    <row r="1" spans="1:6" x14ac:dyDescent="0.25">
      <c r="A1" t="s">
        <v>33</v>
      </c>
    </row>
    <row r="2" spans="1:6" x14ac:dyDescent="0.25">
      <c r="A2" s="1" t="s">
        <v>0</v>
      </c>
      <c r="B2" s="1"/>
      <c r="C2" s="1"/>
      <c r="D2" s="1"/>
    </row>
    <row r="3" spans="1:6" x14ac:dyDescent="0.25">
      <c r="A3" s="1" t="s">
        <v>1</v>
      </c>
      <c r="B3" s="1" t="s">
        <v>2</v>
      </c>
      <c r="C3" s="1" t="s">
        <v>12</v>
      </c>
      <c r="D3" s="1" t="s">
        <v>3</v>
      </c>
      <c r="F3" s="1" t="s">
        <v>4</v>
      </c>
    </row>
    <row r="4" spans="1:6" x14ac:dyDescent="0.25">
      <c r="A4">
        <v>1</v>
      </c>
      <c r="B4" t="s">
        <v>44</v>
      </c>
      <c r="C4" s="4">
        <f>6.54/30</f>
        <v>0.218</v>
      </c>
      <c r="D4" s="4">
        <f t="shared" ref="D4:D11" si="0">A4*C4</f>
        <v>0.218</v>
      </c>
      <c r="F4" s="6" t="s">
        <v>58</v>
      </c>
    </row>
    <row r="5" spans="1:6" x14ac:dyDescent="0.25">
      <c r="A5">
        <v>1</v>
      </c>
      <c r="B5" t="s">
        <v>11</v>
      </c>
      <c r="C5" s="4">
        <v>0.313</v>
      </c>
      <c r="D5" s="4">
        <f t="shared" si="0"/>
        <v>0.313</v>
      </c>
      <c r="F5" s="6" t="s">
        <v>27</v>
      </c>
    </row>
    <row r="6" spans="1:6" x14ac:dyDescent="0.25">
      <c r="A6">
        <v>1</v>
      </c>
      <c r="B6" t="s">
        <v>80</v>
      </c>
      <c r="C6" s="4">
        <v>1.1499999999999999</v>
      </c>
      <c r="D6" s="4">
        <f t="shared" si="0"/>
        <v>1.1499999999999999</v>
      </c>
      <c r="F6" s="6" t="s">
        <v>81</v>
      </c>
    </row>
    <row r="7" spans="1:6" x14ac:dyDescent="0.25">
      <c r="A7">
        <v>1</v>
      </c>
      <c r="B7" t="s">
        <v>42</v>
      </c>
      <c r="C7" s="4">
        <v>0.16500000000000001</v>
      </c>
      <c r="D7" s="4">
        <f t="shared" si="0"/>
        <v>0.16500000000000001</v>
      </c>
      <c r="F7" t="s">
        <v>56</v>
      </c>
    </row>
    <row r="8" spans="1:6" x14ac:dyDescent="0.25">
      <c r="A8">
        <v>1</v>
      </c>
      <c r="B8" t="s">
        <v>83</v>
      </c>
      <c r="C8" s="4">
        <v>0.22500000000000001</v>
      </c>
      <c r="D8" s="4">
        <f t="shared" si="0"/>
        <v>0.22500000000000001</v>
      </c>
      <c r="F8" t="s">
        <v>86</v>
      </c>
    </row>
    <row r="9" spans="1:6" x14ac:dyDescent="0.25">
      <c r="A9">
        <v>1</v>
      </c>
      <c r="B9" t="s">
        <v>84</v>
      </c>
      <c r="C9" s="4">
        <v>0.16300000000000001</v>
      </c>
      <c r="D9" s="4">
        <f t="shared" si="0"/>
        <v>0.16300000000000001</v>
      </c>
      <c r="F9" t="s">
        <v>87</v>
      </c>
    </row>
    <row r="10" spans="1:6" x14ac:dyDescent="0.25">
      <c r="A10">
        <v>1</v>
      </c>
      <c r="B10" t="s">
        <v>85</v>
      </c>
      <c r="C10" s="4">
        <v>3.4000000000000002E-2</v>
      </c>
      <c r="D10" s="4">
        <f t="shared" si="0"/>
        <v>3.4000000000000002E-2</v>
      </c>
      <c r="F10" t="s">
        <v>88</v>
      </c>
    </row>
    <row r="11" spans="1:6" x14ac:dyDescent="0.25">
      <c r="A11">
        <v>1</v>
      </c>
      <c r="B11" t="s">
        <v>82</v>
      </c>
      <c r="C11" s="4">
        <v>0.17100000000000001</v>
      </c>
      <c r="D11" s="4">
        <f t="shared" si="0"/>
        <v>0.17100000000000001</v>
      </c>
      <c r="F11" t="s">
        <v>89</v>
      </c>
    </row>
    <row r="12" spans="1:6" x14ac:dyDescent="0.25">
      <c r="A12">
        <v>3</v>
      </c>
      <c r="B12" t="s">
        <v>8</v>
      </c>
      <c r="C12" s="4">
        <v>3.1E-2</v>
      </c>
      <c r="D12" s="4">
        <f t="shared" ref="D12:D17" si="1">A12*C12</f>
        <v>9.2999999999999999E-2</v>
      </c>
      <c r="F12" t="s">
        <v>23</v>
      </c>
    </row>
    <row r="13" spans="1:6" x14ac:dyDescent="0.25">
      <c r="A13">
        <v>1</v>
      </c>
      <c r="B13" t="s">
        <v>90</v>
      </c>
      <c r="C13" s="4">
        <v>0.10299999999999999</v>
      </c>
      <c r="D13" s="4">
        <f t="shared" si="1"/>
        <v>0.10299999999999999</v>
      </c>
      <c r="F13" t="s">
        <v>91</v>
      </c>
    </row>
    <row r="14" spans="1:6" x14ac:dyDescent="0.25">
      <c r="A14" s="9">
        <v>3</v>
      </c>
      <c r="B14" s="9" t="s">
        <v>95</v>
      </c>
      <c r="C14" s="10">
        <f>5.47/20</f>
        <v>0.27349999999999997</v>
      </c>
      <c r="D14" s="10">
        <f t="shared" si="1"/>
        <v>0.8204999999999999</v>
      </c>
      <c r="E14" s="9"/>
      <c r="F14" t="s">
        <v>99</v>
      </c>
    </row>
    <row r="15" spans="1:6" x14ac:dyDescent="0.25">
      <c r="A15" s="9">
        <v>3</v>
      </c>
      <c r="B15" s="9" t="s">
        <v>96</v>
      </c>
      <c r="C15" s="10">
        <f>5.29/20</f>
        <v>0.26450000000000001</v>
      </c>
      <c r="D15" s="10">
        <f t="shared" si="1"/>
        <v>0.79350000000000009</v>
      </c>
      <c r="F15" t="s">
        <v>99</v>
      </c>
    </row>
    <row r="16" spans="1:6" x14ac:dyDescent="0.25">
      <c r="A16" s="9">
        <v>3</v>
      </c>
      <c r="B16" s="9" t="s">
        <v>97</v>
      </c>
      <c r="C16" s="10">
        <f>5.29/20</f>
        <v>0.26450000000000001</v>
      </c>
      <c r="D16" s="10">
        <f t="shared" si="1"/>
        <v>0.79350000000000009</v>
      </c>
      <c r="F16" t="s">
        <v>99</v>
      </c>
    </row>
    <row r="17" spans="1:6" x14ac:dyDescent="0.25">
      <c r="A17" s="9">
        <v>3</v>
      </c>
      <c r="B17" s="9" t="s">
        <v>98</v>
      </c>
      <c r="C17" s="10">
        <f>5.29/20</f>
        <v>0.26450000000000001</v>
      </c>
      <c r="D17" s="10">
        <f t="shared" si="1"/>
        <v>0.79350000000000009</v>
      </c>
      <c r="F17" t="s">
        <v>99</v>
      </c>
    </row>
    <row r="18" spans="1:6" x14ac:dyDescent="0.25">
      <c r="A18">
        <v>0.5</v>
      </c>
      <c r="B18" t="s">
        <v>59</v>
      </c>
      <c r="C18" s="4">
        <f>11.91/50.9</f>
        <v>0.23398821218074656</v>
      </c>
      <c r="D18" s="4">
        <f t="shared" ref="D18:D19" si="2">A18*C18</f>
        <v>0.11699410609037328</v>
      </c>
      <c r="F18" t="s">
        <v>60</v>
      </c>
    </row>
    <row r="19" spans="1:6" x14ac:dyDescent="0.25">
      <c r="A19">
        <v>3</v>
      </c>
      <c r="B19" t="s">
        <v>93</v>
      </c>
      <c r="C19" s="4">
        <f>2.25/2/400</f>
        <v>2.8124999999999999E-3</v>
      </c>
      <c r="D19" s="4">
        <f t="shared" si="2"/>
        <v>8.4375000000000006E-3</v>
      </c>
      <c r="F19" s="2" t="s">
        <v>94</v>
      </c>
    </row>
    <row r="20" spans="1:6" x14ac:dyDescent="0.25">
      <c r="C20" s="1" t="s">
        <v>92</v>
      </c>
      <c r="D20" s="5">
        <f>SUM(D4:D19)</f>
        <v>5.9614316060903727</v>
      </c>
    </row>
    <row r="22" spans="1:6" x14ac:dyDescent="0.25">
      <c r="A22" t="s">
        <v>13</v>
      </c>
      <c r="D22" s="4"/>
    </row>
    <row r="23" spans="1:6" x14ac:dyDescent="0.25">
      <c r="A23">
        <v>1</v>
      </c>
      <c r="B23" t="s">
        <v>17</v>
      </c>
      <c r="C23" s="2">
        <f>3.1/5</f>
        <v>0.62</v>
      </c>
      <c r="D23" s="4">
        <f>C23/A23</f>
        <v>0.62</v>
      </c>
    </row>
    <row r="25" spans="1:6" x14ac:dyDescent="0.25">
      <c r="C25" s="1" t="s">
        <v>14</v>
      </c>
      <c r="D25" s="5">
        <f>D23+D20</f>
        <v>6.5814316060903728</v>
      </c>
    </row>
    <row r="26" spans="1:6" x14ac:dyDescent="0.25">
      <c r="C26" s="2"/>
      <c r="D26" s="2"/>
    </row>
    <row r="27" spans="1:6" x14ac:dyDescent="0.25">
      <c r="C27" s="2"/>
    </row>
    <row r="28" spans="1:6" x14ac:dyDescent="0.25">
      <c r="C2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3811-4CDF-469E-8091-506DBC73F0E4}">
  <dimension ref="A1:P25"/>
  <sheetViews>
    <sheetView workbookViewId="0">
      <selection activeCell="H21" sqref="H21"/>
    </sheetView>
  </sheetViews>
  <sheetFormatPr defaultRowHeight="15" x14ac:dyDescent="0.25"/>
  <cols>
    <col min="2" max="2" width="21.7109375" bestFit="1" customWidth="1"/>
    <col min="3" max="3" width="13.28515625" bestFit="1" customWidth="1"/>
    <col min="6" max="6" width="61.7109375" customWidth="1"/>
  </cols>
  <sheetData>
    <row r="1" spans="1:16" x14ac:dyDescent="0.25">
      <c r="A1" t="s">
        <v>30</v>
      </c>
    </row>
    <row r="2" spans="1:16" x14ac:dyDescent="0.25">
      <c r="A2" s="1" t="s">
        <v>0</v>
      </c>
      <c r="B2" s="1"/>
      <c r="C2" s="1"/>
      <c r="D2" s="1"/>
    </row>
    <row r="3" spans="1:16" x14ac:dyDescent="0.25">
      <c r="A3" s="1" t="s">
        <v>1</v>
      </c>
      <c r="B3" s="1" t="s">
        <v>2</v>
      </c>
      <c r="C3" s="1" t="s">
        <v>12</v>
      </c>
      <c r="D3" s="1" t="s">
        <v>3</v>
      </c>
      <c r="F3" s="1" t="s">
        <v>4</v>
      </c>
    </row>
    <row r="4" spans="1:16" x14ac:dyDescent="0.25">
      <c r="A4">
        <v>3</v>
      </c>
      <c r="B4" t="s">
        <v>34</v>
      </c>
      <c r="C4" s="4">
        <v>0.154</v>
      </c>
      <c r="D4" s="4">
        <f t="shared" ref="D4:D15" si="0">A4*C4</f>
        <v>0.46199999999999997</v>
      </c>
      <c r="F4" t="s">
        <v>31</v>
      </c>
    </row>
    <row r="5" spans="1:16" x14ac:dyDescent="0.25">
      <c r="A5">
        <v>19</v>
      </c>
      <c r="B5" t="s">
        <v>36</v>
      </c>
      <c r="C5" s="4">
        <v>3.1E-2</v>
      </c>
      <c r="D5" s="4">
        <f t="shared" si="0"/>
        <v>0.58899999999999997</v>
      </c>
      <c r="F5" s="6" t="s">
        <v>51</v>
      </c>
    </row>
    <row r="6" spans="1:16" x14ac:dyDescent="0.25">
      <c r="A6">
        <v>15</v>
      </c>
      <c r="B6" t="s">
        <v>102</v>
      </c>
      <c r="C6" s="4">
        <v>2.5600000000000001E-2</v>
      </c>
      <c r="D6" s="4">
        <f t="shared" si="0"/>
        <v>0.38400000000000001</v>
      </c>
      <c r="F6" s="6" t="s">
        <v>52</v>
      </c>
    </row>
    <row r="7" spans="1:16" x14ac:dyDescent="0.25">
      <c r="A7">
        <v>1</v>
      </c>
      <c r="B7" t="s">
        <v>39</v>
      </c>
      <c r="C7" s="4">
        <v>0.2</v>
      </c>
      <c r="D7" s="4">
        <f t="shared" si="0"/>
        <v>0.2</v>
      </c>
      <c r="F7" s="6" t="s">
        <v>45</v>
      </c>
    </row>
    <row r="8" spans="1:16" x14ac:dyDescent="0.25">
      <c r="A8">
        <v>1</v>
      </c>
      <c r="B8" t="s">
        <v>38</v>
      </c>
      <c r="C8" s="4">
        <f>2.94/100</f>
        <v>2.9399999999999999E-2</v>
      </c>
      <c r="D8" s="4">
        <f t="shared" si="0"/>
        <v>2.9399999999999999E-2</v>
      </c>
      <c r="F8" s="6" t="s">
        <v>55</v>
      </c>
    </row>
    <row r="9" spans="1:16" x14ac:dyDescent="0.25">
      <c r="A9">
        <v>1</v>
      </c>
      <c r="B9" t="s">
        <v>40</v>
      </c>
      <c r="C9" s="4">
        <v>2.5</v>
      </c>
      <c r="D9" s="4">
        <f t="shared" si="0"/>
        <v>2.5</v>
      </c>
      <c r="F9" s="6" t="s">
        <v>46</v>
      </c>
      <c r="P9" t="s">
        <v>48</v>
      </c>
    </row>
    <row r="10" spans="1:16" x14ac:dyDescent="0.25">
      <c r="A10">
        <v>1</v>
      </c>
      <c r="B10" t="s">
        <v>47</v>
      </c>
      <c r="C10" s="4">
        <v>0.123</v>
      </c>
      <c r="D10" s="4">
        <f t="shared" si="0"/>
        <v>0.123</v>
      </c>
      <c r="F10" t="s">
        <v>53</v>
      </c>
    </row>
    <row r="11" spans="1:16" x14ac:dyDescent="0.25">
      <c r="A11">
        <v>1</v>
      </c>
      <c r="B11" t="s">
        <v>41</v>
      </c>
      <c r="C11" s="4">
        <v>0.154</v>
      </c>
      <c r="D11" s="4">
        <f t="shared" si="0"/>
        <v>0.154</v>
      </c>
      <c r="F11" t="s">
        <v>54</v>
      </c>
    </row>
    <row r="12" spans="1:16" x14ac:dyDescent="0.25">
      <c r="A12">
        <v>1</v>
      </c>
      <c r="B12" t="s">
        <v>42</v>
      </c>
      <c r="C12" s="4">
        <v>0.16500000000000001</v>
      </c>
      <c r="D12" s="4">
        <f t="shared" si="0"/>
        <v>0.16500000000000001</v>
      </c>
      <c r="F12" t="s">
        <v>56</v>
      </c>
    </row>
    <row r="13" spans="1:16" x14ac:dyDescent="0.25">
      <c r="A13">
        <v>1</v>
      </c>
      <c r="B13" t="s">
        <v>43</v>
      </c>
      <c r="C13" s="4">
        <f>6.23/100</f>
        <v>6.2300000000000001E-2</v>
      </c>
      <c r="D13" s="4">
        <f t="shared" si="0"/>
        <v>6.2300000000000001E-2</v>
      </c>
      <c r="F13" t="s">
        <v>57</v>
      </c>
    </row>
    <row r="14" spans="1:16" x14ac:dyDescent="0.25">
      <c r="A14">
        <v>1</v>
      </c>
      <c r="B14" t="s">
        <v>44</v>
      </c>
      <c r="C14" s="4">
        <f>6.54/30</f>
        <v>0.218</v>
      </c>
      <c r="D14" s="4">
        <f t="shared" si="0"/>
        <v>0.218</v>
      </c>
      <c r="F14" s="6" t="s">
        <v>58</v>
      </c>
    </row>
    <row r="15" spans="1:16" x14ac:dyDescent="0.25">
      <c r="A15">
        <v>1</v>
      </c>
      <c r="B15" t="s">
        <v>59</v>
      </c>
      <c r="C15" s="4">
        <f>11.91/50.9</f>
        <v>0.23398821218074656</v>
      </c>
      <c r="D15" s="4">
        <f t="shared" si="0"/>
        <v>0.23398821218074656</v>
      </c>
      <c r="F15" t="s">
        <v>60</v>
      </c>
    </row>
    <row r="16" spans="1:16" x14ac:dyDescent="0.25">
      <c r="C16" s="1" t="s">
        <v>3</v>
      </c>
      <c r="D16" s="5">
        <f>SUM(D4:D15)</f>
        <v>5.1206882121807471</v>
      </c>
    </row>
    <row r="17" spans="1:7" x14ac:dyDescent="0.25">
      <c r="D17" s="4"/>
    </row>
    <row r="18" spans="1:7" x14ac:dyDescent="0.25">
      <c r="A18" s="1" t="s">
        <v>13</v>
      </c>
      <c r="D18" s="4"/>
    </row>
    <row r="19" spans="1:7" x14ac:dyDescent="0.25">
      <c r="A19">
        <v>1</v>
      </c>
      <c r="B19" t="s">
        <v>17</v>
      </c>
      <c r="C19" s="2">
        <f>20.78/30</f>
        <v>0.69266666666666665</v>
      </c>
      <c r="D19" s="4">
        <f>C19/A19</f>
        <v>0.69266666666666665</v>
      </c>
      <c r="E19" t="s">
        <v>35</v>
      </c>
    </row>
    <row r="21" spans="1:7" x14ac:dyDescent="0.25">
      <c r="C21" s="1" t="s">
        <v>14</v>
      </c>
      <c r="D21" s="5">
        <f>D19+D16</f>
        <v>5.8133548788474139</v>
      </c>
    </row>
    <row r="22" spans="1:7" x14ac:dyDescent="0.25">
      <c r="C22" s="2"/>
      <c r="D22" s="2"/>
    </row>
    <row r="23" spans="1:7" x14ac:dyDescent="0.25">
      <c r="C23" s="2"/>
      <c r="D23" s="2"/>
    </row>
    <row r="24" spans="1:7" x14ac:dyDescent="0.25">
      <c r="A24" s="1" t="s">
        <v>49</v>
      </c>
      <c r="C24" s="2"/>
    </row>
    <row r="25" spans="1:7" x14ac:dyDescent="0.25">
      <c r="B25" t="s">
        <v>103</v>
      </c>
      <c r="C25" s="6" t="s">
        <v>50</v>
      </c>
      <c r="G25" s="4">
        <v>1.024</v>
      </c>
    </row>
  </sheetData>
  <hyperlinks>
    <hyperlink ref="F9" r:id="rId1" xr:uid="{5A4E1F3E-D950-43BA-831C-B7B6F723E4CB}"/>
    <hyperlink ref="F7" r:id="rId2" xr:uid="{5BE640BB-ACB0-48C4-A26D-B666B51C8318}"/>
    <hyperlink ref="F8" r:id="rId3" xr:uid="{82457CB7-AD81-4212-A226-082BEAE07EA4}"/>
    <hyperlink ref="C25" r:id="rId4" xr:uid="{17DA1A5F-BAE2-442E-810A-D6660B7434A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0E57-CE64-4764-B25E-9B474CAAFF87}">
  <dimension ref="A1:I46"/>
  <sheetViews>
    <sheetView tabSelected="1" workbookViewId="0">
      <selection activeCell="F21" sqref="F21"/>
    </sheetView>
  </sheetViews>
  <sheetFormatPr defaultRowHeight="15" x14ac:dyDescent="0.25"/>
  <cols>
    <col min="1" max="1" width="8" bestFit="1" customWidth="1"/>
    <col min="2" max="2" width="19.5703125" customWidth="1"/>
    <col min="3" max="3" width="14.5703125" bestFit="1" customWidth="1"/>
    <col min="4" max="4" width="10.85546875" customWidth="1"/>
    <col min="6" max="6" width="71.85546875" bestFit="1" customWidth="1"/>
    <col min="7" max="7" width="14.140625" bestFit="1" customWidth="1"/>
    <col min="9" max="9" width="10.140625" bestFit="1" customWidth="1"/>
  </cols>
  <sheetData>
    <row r="1" spans="1:9" x14ac:dyDescent="0.25">
      <c r="A1" s="1" t="s">
        <v>0</v>
      </c>
      <c r="B1" s="1"/>
      <c r="C1" s="1"/>
      <c r="D1" s="1"/>
      <c r="H1" t="s">
        <v>110</v>
      </c>
      <c r="I1" t="s">
        <v>111</v>
      </c>
    </row>
    <row r="2" spans="1:9" x14ac:dyDescent="0.25">
      <c r="A2" s="1" t="s">
        <v>1</v>
      </c>
      <c r="B2" s="1" t="s">
        <v>2</v>
      </c>
      <c r="C2" s="1" t="s">
        <v>12</v>
      </c>
      <c r="D2" s="1" t="s">
        <v>3</v>
      </c>
      <c r="F2" s="1" t="s">
        <v>4</v>
      </c>
      <c r="H2" s="1"/>
    </row>
    <row r="3" spans="1:9" x14ac:dyDescent="0.25">
      <c r="A3">
        <v>10</v>
      </c>
      <c r="B3" t="s">
        <v>115</v>
      </c>
      <c r="C3" s="4">
        <v>0.05</v>
      </c>
      <c r="D3" s="4">
        <f t="shared" ref="D3:D14" si="0">A3*C3</f>
        <v>0.5</v>
      </c>
      <c r="F3" s="6" t="s">
        <v>116</v>
      </c>
    </row>
    <row r="4" spans="1:9" x14ac:dyDescent="0.25">
      <c r="A4">
        <v>10</v>
      </c>
      <c r="B4" t="s">
        <v>141</v>
      </c>
      <c r="C4" s="4">
        <f>0.05*100/121</f>
        <v>4.1322314049586778E-2</v>
      </c>
      <c r="D4" s="4">
        <f t="shared" si="0"/>
        <v>0.41322314049586778</v>
      </c>
      <c r="F4" s="6" t="s">
        <v>142</v>
      </c>
    </row>
    <row r="5" spans="1:9" x14ac:dyDescent="0.25">
      <c r="A5">
        <v>0.5</v>
      </c>
      <c r="B5" t="s">
        <v>139</v>
      </c>
      <c r="C5" s="4">
        <f>12.99*100/121/280</f>
        <v>3.8341204250295163E-2</v>
      </c>
      <c r="D5" s="4">
        <f t="shared" si="0"/>
        <v>1.9170602125147582E-2</v>
      </c>
      <c r="F5" s="6" t="s">
        <v>117</v>
      </c>
    </row>
    <row r="6" spans="1:9" x14ac:dyDescent="0.25">
      <c r="A6">
        <v>0.4</v>
      </c>
      <c r="B6" t="s">
        <v>59</v>
      </c>
      <c r="C6" s="4">
        <f>11.91/50.9</f>
        <v>0.23398821218074656</v>
      </c>
      <c r="D6" s="4">
        <f t="shared" si="0"/>
        <v>9.3595284872298623E-2</v>
      </c>
      <c r="F6" t="s">
        <v>60</v>
      </c>
    </row>
    <row r="7" spans="1:9" x14ac:dyDescent="0.25">
      <c r="A7">
        <v>1</v>
      </c>
      <c r="B7" t="s">
        <v>118</v>
      </c>
      <c r="C7" s="4">
        <f>(13.25+8.95)*100/121/27</f>
        <v>0.67952249770431594</v>
      </c>
      <c r="D7" s="4">
        <f t="shared" si="0"/>
        <v>0.67952249770431594</v>
      </c>
      <c r="F7" s="6" t="s">
        <v>119</v>
      </c>
    </row>
    <row r="8" spans="1:9" x14ac:dyDescent="0.25">
      <c r="A8">
        <v>4</v>
      </c>
      <c r="B8" t="s">
        <v>120</v>
      </c>
      <c r="C8" s="4">
        <f>4*100/121/100</f>
        <v>3.3057851239669422E-2</v>
      </c>
      <c r="D8" s="4">
        <f t="shared" si="0"/>
        <v>0.13223140495867769</v>
      </c>
      <c r="F8" s="6" t="s">
        <v>138</v>
      </c>
      <c r="G8" s="2"/>
    </row>
    <row r="9" spans="1:9" x14ac:dyDescent="0.25">
      <c r="A9">
        <v>4</v>
      </c>
      <c r="B9" t="s">
        <v>123</v>
      </c>
      <c r="C9" s="4">
        <f>2.48/100</f>
        <v>2.4799999999999999E-2</v>
      </c>
      <c r="D9" s="4">
        <f t="shared" si="0"/>
        <v>9.9199999999999997E-2</v>
      </c>
      <c r="F9" t="s">
        <v>124</v>
      </c>
    </row>
    <row r="10" spans="1:9" x14ac:dyDescent="0.25">
      <c r="A10">
        <v>1</v>
      </c>
      <c r="B10" t="s">
        <v>140</v>
      </c>
      <c r="C10" s="4">
        <v>0.28999999999999998</v>
      </c>
      <c r="D10" s="4">
        <f t="shared" si="0"/>
        <v>0.28999999999999998</v>
      </c>
      <c r="F10" t="s">
        <v>125</v>
      </c>
    </row>
    <row r="11" spans="1:9" x14ac:dyDescent="0.25">
      <c r="A11">
        <v>1</v>
      </c>
      <c r="B11" t="s">
        <v>122</v>
      </c>
      <c r="C11" s="4">
        <f>1.45/75</f>
        <v>1.9333333333333334E-2</v>
      </c>
      <c r="D11" s="4">
        <f t="shared" si="0"/>
        <v>1.9333333333333334E-2</v>
      </c>
      <c r="F11" t="s">
        <v>126</v>
      </c>
    </row>
    <row r="12" spans="1:9" x14ac:dyDescent="0.25">
      <c r="A12">
        <v>1</v>
      </c>
      <c r="B12" t="s">
        <v>127</v>
      </c>
      <c r="C12" s="4"/>
      <c r="D12" s="4">
        <f t="shared" si="0"/>
        <v>0</v>
      </c>
      <c r="F12" t="s">
        <v>128</v>
      </c>
    </row>
    <row r="13" spans="1:9" x14ac:dyDescent="0.25">
      <c r="A13">
        <v>1</v>
      </c>
      <c r="B13" t="s">
        <v>129</v>
      </c>
      <c r="C13" s="4">
        <f>5.95*100/121/14</f>
        <v>0.3512396694214876</v>
      </c>
      <c r="D13" s="4">
        <f t="shared" si="0"/>
        <v>0.3512396694214876</v>
      </c>
      <c r="F13" t="s">
        <v>133</v>
      </c>
    </row>
    <row r="14" spans="1:9" x14ac:dyDescent="0.25">
      <c r="A14">
        <v>1</v>
      </c>
      <c r="B14" t="s">
        <v>136</v>
      </c>
      <c r="C14" s="4">
        <v>0.3</v>
      </c>
      <c r="D14" s="4">
        <f t="shared" si="0"/>
        <v>0.3</v>
      </c>
    </row>
    <row r="15" spans="1:9" x14ac:dyDescent="0.25">
      <c r="C15" s="4"/>
      <c r="D15" s="4"/>
    </row>
    <row r="16" spans="1:9" x14ac:dyDescent="0.25">
      <c r="C16" s="1" t="s">
        <v>3</v>
      </c>
      <c r="D16" s="5">
        <f>SUM(D3:D14)</f>
        <v>2.8975159329111282</v>
      </c>
      <c r="F16" s="6"/>
    </row>
    <row r="17" spans="1:6" x14ac:dyDescent="0.25">
      <c r="C17" s="4"/>
      <c r="D17" s="4"/>
      <c r="F17" s="6"/>
    </row>
    <row r="18" spans="1:6" x14ac:dyDescent="0.25">
      <c r="A18" s="1" t="s">
        <v>13</v>
      </c>
      <c r="D18" s="4"/>
      <c r="F18" s="6"/>
    </row>
    <row r="19" spans="1:6" x14ac:dyDescent="0.25">
      <c r="A19">
        <v>1</v>
      </c>
      <c r="B19" t="s">
        <v>17</v>
      </c>
      <c r="C19" s="2">
        <f>(19+14.85)/30</f>
        <v>1.1283333333333334</v>
      </c>
      <c r="D19" s="4">
        <f>C19/A19</f>
        <v>1.1283333333333334</v>
      </c>
    </row>
    <row r="20" spans="1:6" x14ac:dyDescent="0.25">
      <c r="F20" s="4"/>
    </row>
    <row r="21" spans="1:6" x14ac:dyDescent="0.25">
      <c r="C21" s="1" t="s">
        <v>131</v>
      </c>
      <c r="D21" s="5">
        <f>SUM(D16:D19)</f>
        <v>4.025849266244462</v>
      </c>
    </row>
    <row r="22" spans="1:6" x14ac:dyDescent="0.25">
      <c r="F22" s="4"/>
    </row>
    <row r="24" spans="1:6" x14ac:dyDescent="0.25">
      <c r="A24" s="1"/>
    </row>
    <row r="25" spans="1:6" x14ac:dyDescent="0.25">
      <c r="A25" t="s">
        <v>132</v>
      </c>
      <c r="C25" s="2"/>
      <c r="D25" s="2"/>
    </row>
    <row r="26" spans="1:6" x14ac:dyDescent="0.25">
      <c r="A26" s="1" t="s">
        <v>1</v>
      </c>
      <c r="B26" s="1" t="s">
        <v>2</v>
      </c>
      <c r="C26" s="1" t="s">
        <v>12</v>
      </c>
      <c r="D26" s="1" t="s">
        <v>3</v>
      </c>
      <c r="F26" s="1" t="s">
        <v>4</v>
      </c>
    </row>
    <row r="27" spans="1:6" x14ac:dyDescent="0.25">
      <c r="A27">
        <v>1</v>
      </c>
      <c r="B27" t="s">
        <v>115</v>
      </c>
      <c r="C27" s="4">
        <f>15*10*0.05*100/121</f>
        <v>6.1983471074380168</v>
      </c>
      <c r="D27" s="4">
        <f t="shared" ref="D27:D38" si="1">A27*C27</f>
        <v>6.1983471074380168</v>
      </c>
      <c r="F27" s="6" t="s">
        <v>116</v>
      </c>
    </row>
    <row r="28" spans="1:6" x14ac:dyDescent="0.25">
      <c r="A28">
        <v>1</v>
      </c>
      <c r="B28" t="s">
        <v>139</v>
      </c>
      <c r="C28" s="4">
        <f>12.99*100/121</f>
        <v>10.735537190082646</v>
      </c>
      <c r="D28" s="4">
        <f t="shared" si="1"/>
        <v>10.735537190082646</v>
      </c>
      <c r="F28" s="6" t="s">
        <v>117</v>
      </c>
    </row>
    <row r="29" spans="1:6" x14ac:dyDescent="0.25">
      <c r="A29" s="12">
        <v>1</v>
      </c>
      <c r="B29" s="12" t="s">
        <v>141</v>
      </c>
      <c r="C29" s="13">
        <f>8.01*100/121</f>
        <v>6.6198347107438016</v>
      </c>
      <c r="D29" s="13">
        <f t="shared" si="1"/>
        <v>6.6198347107438016</v>
      </c>
      <c r="F29" s="6" t="s">
        <v>142</v>
      </c>
    </row>
    <row r="30" spans="1:6" x14ac:dyDescent="0.25">
      <c r="A30">
        <f>15*0.4</f>
        <v>6</v>
      </c>
      <c r="B30" t="s">
        <v>59</v>
      </c>
      <c r="C30" s="4">
        <f>11.91/50.9</f>
        <v>0.23398821218074656</v>
      </c>
      <c r="D30" s="4">
        <f t="shared" si="1"/>
        <v>1.4039292730844792</v>
      </c>
      <c r="F30" t="s">
        <v>60</v>
      </c>
    </row>
    <row r="31" spans="1:6" x14ac:dyDescent="0.25">
      <c r="A31">
        <v>1</v>
      </c>
      <c r="B31" t="s">
        <v>118</v>
      </c>
      <c r="C31" s="4">
        <f>(13.25+8.95)*100/121</f>
        <v>18.347107438016529</v>
      </c>
      <c r="D31" s="4">
        <f t="shared" si="1"/>
        <v>18.347107438016529</v>
      </c>
      <c r="F31" s="6" t="s">
        <v>119</v>
      </c>
    </row>
    <row r="32" spans="1:6" x14ac:dyDescent="0.25">
      <c r="A32">
        <v>1</v>
      </c>
      <c r="B32" t="s">
        <v>120</v>
      </c>
      <c r="C32" s="4">
        <f>4*100/121</f>
        <v>3.3057851239669422</v>
      </c>
      <c r="D32" s="4">
        <f t="shared" si="1"/>
        <v>3.3057851239669422</v>
      </c>
      <c r="F32" s="6" t="s">
        <v>138</v>
      </c>
    </row>
    <row r="33" spans="1:6" x14ac:dyDescent="0.25">
      <c r="A33">
        <v>1</v>
      </c>
      <c r="B33" t="s">
        <v>123</v>
      </c>
      <c r="C33" s="4">
        <f>2.48</f>
        <v>2.48</v>
      </c>
      <c r="D33" s="4">
        <f t="shared" si="1"/>
        <v>2.48</v>
      </c>
      <c r="F33" s="6" t="s">
        <v>124</v>
      </c>
    </row>
    <row r="34" spans="1:6" x14ac:dyDescent="0.25">
      <c r="A34">
        <v>1</v>
      </c>
      <c r="B34" t="s">
        <v>121</v>
      </c>
      <c r="C34" s="4">
        <f>(0.29*15)*100/121</f>
        <v>3.5950413223140489</v>
      </c>
      <c r="D34" s="4">
        <f t="shared" si="1"/>
        <v>3.5950413223140489</v>
      </c>
      <c r="F34" s="6" t="s">
        <v>125</v>
      </c>
    </row>
    <row r="35" spans="1:6" x14ac:dyDescent="0.25">
      <c r="A35">
        <v>1</v>
      </c>
      <c r="B35" t="s">
        <v>122</v>
      </c>
      <c r="C35" s="4">
        <v>1.45</v>
      </c>
      <c r="D35" s="4">
        <f t="shared" si="1"/>
        <v>1.45</v>
      </c>
      <c r="F35" s="6" t="s">
        <v>126</v>
      </c>
    </row>
    <row r="36" spans="1:6" x14ac:dyDescent="0.25">
      <c r="A36">
        <v>1</v>
      </c>
      <c r="B36" t="s">
        <v>127</v>
      </c>
      <c r="C36" s="4"/>
      <c r="D36" s="4">
        <f t="shared" si="1"/>
        <v>0</v>
      </c>
      <c r="F36" t="s">
        <v>128</v>
      </c>
    </row>
    <row r="37" spans="1:6" x14ac:dyDescent="0.25">
      <c r="A37">
        <v>1</v>
      </c>
      <c r="B37" t="s">
        <v>129</v>
      </c>
      <c r="C37" s="4">
        <f>5.95*100/121</f>
        <v>4.9173553719008263</v>
      </c>
      <c r="D37" s="4">
        <f t="shared" si="1"/>
        <v>4.9173553719008263</v>
      </c>
      <c r="F37" t="s">
        <v>130</v>
      </c>
    </row>
    <row r="38" spans="1:6" x14ac:dyDescent="0.25">
      <c r="A38">
        <v>1</v>
      </c>
      <c r="B38" t="s">
        <v>137</v>
      </c>
      <c r="C38" s="4">
        <f>0.3*15</f>
        <v>4.5</v>
      </c>
      <c r="D38" s="4">
        <f t="shared" si="1"/>
        <v>4.5</v>
      </c>
    </row>
    <row r="39" spans="1:6" x14ac:dyDescent="0.25">
      <c r="C39" s="4"/>
      <c r="D39" s="4"/>
    </row>
    <row r="40" spans="1:6" x14ac:dyDescent="0.25">
      <c r="C40" s="1" t="s">
        <v>3</v>
      </c>
      <c r="D40" s="5">
        <f>SUM(D27:D37)</f>
        <v>59.052937537547287</v>
      </c>
      <c r="F40" s="6"/>
    </row>
    <row r="41" spans="1:6" x14ac:dyDescent="0.25">
      <c r="C41" s="4"/>
      <c r="D41" s="4"/>
      <c r="F41" s="6"/>
    </row>
    <row r="42" spans="1:6" x14ac:dyDescent="0.25">
      <c r="A42" s="1" t="s">
        <v>13</v>
      </c>
      <c r="D42" s="4"/>
      <c r="F42" s="6"/>
    </row>
    <row r="43" spans="1:6" x14ac:dyDescent="0.25">
      <c r="A43">
        <v>1</v>
      </c>
      <c r="B43" t="s">
        <v>17</v>
      </c>
      <c r="C43" s="2">
        <f>31.1/20</f>
        <v>1.5550000000000002</v>
      </c>
      <c r="D43" s="4">
        <f>C43/A43</f>
        <v>1.5550000000000002</v>
      </c>
    </row>
    <row r="44" spans="1:6" x14ac:dyDescent="0.25">
      <c r="F44" s="4"/>
    </row>
    <row r="45" spans="1:6" x14ac:dyDescent="0.25">
      <c r="C45" s="1" t="s">
        <v>134</v>
      </c>
      <c r="D45" s="5">
        <f>SUM(D40:D43)</f>
        <v>60.607937537547286</v>
      </c>
    </row>
    <row r="46" spans="1:6" x14ac:dyDescent="0.25">
      <c r="C46" t="s">
        <v>135</v>
      </c>
      <c r="D46" s="4">
        <f>D45/15</f>
        <v>4.0405291691698189</v>
      </c>
    </row>
  </sheetData>
  <hyperlinks>
    <hyperlink ref="F3" r:id="rId1" xr:uid="{7E0BF3B6-2555-4708-9B57-4EB6488930B8}"/>
    <hyperlink ref="F27" r:id="rId2" xr:uid="{C6855C31-EAA0-4D44-A21C-75B653E927C8}"/>
    <hyperlink ref="F28" r:id="rId3" xr:uid="{7985B287-9202-49BA-96EC-3527E35AF464}"/>
    <hyperlink ref="F33" r:id="rId4" xr:uid="{B904EA2C-A916-49E4-90BF-86FCFF073D72}"/>
    <hyperlink ref="F34" r:id="rId5" xr:uid="{53E6BBBE-F583-4BE3-82C8-B8CA2353E487}"/>
    <hyperlink ref="F35" r:id="rId6" xr:uid="{77B9EDD2-CF55-42EF-9CB8-820F71732DB2}"/>
  </hyperlinks>
  <pageMargins left="0.7" right="0.7" top="0.75" bottom="0.75" header="0.3" footer="0.3"/>
  <pageSetup paperSize="9" orientation="portrait" horizontalDpi="4294967293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 balance</vt:lpstr>
      <vt:lpstr>Wireless LEDs</vt:lpstr>
      <vt:lpstr>Lighthouse</vt:lpstr>
      <vt:lpstr>Moduli</vt:lpstr>
      <vt:lpstr>Cube</vt:lpstr>
      <vt:lpstr>Lotus</vt:lpstr>
      <vt:lpstr>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Riet, C.M. van</dc:creator>
  <cp:lastModifiedBy>Riet, C.M. van</cp:lastModifiedBy>
  <dcterms:created xsi:type="dcterms:W3CDTF">2022-07-21T19:53:26Z</dcterms:created>
  <dcterms:modified xsi:type="dcterms:W3CDTF">2023-01-25T14:03:12Z</dcterms:modified>
</cp:coreProperties>
</file>